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branchepartners.sharepoint.com/sites/VZR-Secretariaat/Gedeelde documenten/Personen/Shanna/"/>
    </mc:Choice>
  </mc:AlternateContent>
  <xr:revisionPtr revIDLastSave="11" documentId="8_{66457EFE-563C-4B32-800A-F4657381F64C}" xr6:coauthVersionLast="47" xr6:coauthVersionMax="47" xr10:uidLastSave="{87712B0C-3C8A-4B40-9443-7E7760466B09}"/>
  <bookViews>
    <workbookView xWindow="-120" yWindow="-120" windowWidth="29040" windowHeight="15720" xr2:uid="{00000000-000D-0000-FFFF-FFFF00000000}"/>
  </bookViews>
  <sheets>
    <sheet name="DGA, geen BTW-aftrek in prive" sheetId="2" r:id="rId1"/>
    <sheet name="eenmanszaak met BTW-aftrek" sheetId="6" r:id="rId2"/>
    <sheet name="bestelauto eenmanszaak" sheetId="7" r:id="rId3"/>
  </sheets>
  <definedNames>
    <definedName name="aanschafw">#REF!</definedName>
    <definedName name="_xlnm.Print_Area" localSheetId="2">'bestelauto eenmanszaak'!$A$2:$F$68</definedName>
    <definedName name="_xlnm.Print_Area" localSheetId="0">'DGA, geen BTW-aftrek in prive'!$A$2:$G$70</definedName>
    <definedName name="_xlnm.Print_Area" localSheetId="1">'eenmanszaak met BTW-aftrek'!$A$2:$G$68</definedName>
    <definedName name="jaar">#REF!</definedName>
    <definedName name="restw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2" l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24" i="2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15" i="2"/>
  <c r="I16" i="2" s="1"/>
  <c r="I17" i="2" s="1"/>
  <c r="I18" i="2" s="1"/>
  <c r="I19" i="2" s="1"/>
  <c r="I20" i="2" s="1"/>
  <c r="I21" i="2" s="1"/>
  <c r="I22" i="2" s="1"/>
  <c r="H17" i="7"/>
  <c r="H13" i="7"/>
  <c r="L12" i="6"/>
  <c r="B28" i="7"/>
  <c r="K8" i="7"/>
  <c r="K11" i="7"/>
  <c r="K7" i="7"/>
  <c r="I11" i="7"/>
  <c r="H7" i="7"/>
  <c r="O7" i="6"/>
  <c r="O10" i="6"/>
  <c r="O6" i="6"/>
  <c r="M10" i="6"/>
  <c r="L6" i="6"/>
  <c r="D43" i="7"/>
  <c r="D48" i="7" s="1"/>
  <c r="B30" i="2"/>
  <c r="B29" i="2"/>
  <c r="D46" i="6"/>
  <c r="B31" i="6" s="1"/>
  <c r="B29" i="7"/>
  <c r="B33" i="7" s="1"/>
  <c r="B37" i="7" s="1"/>
  <c r="D44" i="7"/>
  <c r="B49" i="7" s="1"/>
  <c r="B51" i="7" s="1"/>
  <c r="D47" i="7"/>
  <c r="B32" i="7"/>
  <c r="A66" i="7"/>
  <c r="A65" i="7"/>
  <c r="A48" i="7"/>
  <c r="A46" i="7"/>
  <c r="D45" i="7"/>
  <c r="A45" i="7"/>
  <c r="B35" i="7"/>
  <c r="B34" i="7"/>
  <c r="D34" i="7"/>
  <c r="D35" i="7" s="1"/>
  <c r="A32" i="7"/>
  <c r="B31" i="7"/>
  <c r="D46" i="7"/>
  <c r="D45" i="2"/>
  <c r="L9" i="2"/>
  <c r="L10" i="2"/>
  <c r="L8" i="2"/>
  <c r="D46" i="2"/>
  <c r="B32" i="6"/>
  <c r="D47" i="6"/>
  <c r="B30" i="6"/>
  <c r="D45" i="6"/>
  <c r="D48" i="2"/>
  <c r="D48" i="6"/>
  <c r="B33" i="6"/>
  <c r="D23" i="2"/>
  <c r="B51" i="2"/>
  <c r="B52" i="2" s="1"/>
  <c r="A66" i="6"/>
  <c r="A65" i="6"/>
  <c r="J5" i="2"/>
  <c r="J6" i="2" s="1"/>
  <c r="J7" i="2" s="1"/>
  <c r="J8" i="2" s="1"/>
  <c r="J9" i="2" s="1"/>
  <c r="J10" i="2" s="1"/>
  <c r="J11" i="2" s="1"/>
  <c r="J12" i="2" s="1"/>
  <c r="H6" i="2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H128" i="2" s="1"/>
  <c r="H129" i="2" s="1"/>
  <c r="H130" i="2" s="1"/>
  <c r="H131" i="2" s="1"/>
  <c r="H132" i="2" s="1"/>
  <c r="H133" i="2" s="1"/>
  <c r="D8" i="2"/>
  <c r="B31" i="2"/>
  <c r="B32" i="2"/>
  <c r="D47" i="2" s="1"/>
  <c r="B34" i="2"/>
  <c r="D34" i="2" s="1"/>
  <c r="B35" i="2"/>
  <c r="A46" i="2"/>
  <c r="A47" i="2"/>
  <c r="A49" i="2"/>
  <c r="A50" i="2"/>
  <c r="J5" i="6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J28" i="6" s="1"/>
  <c r="J29" i="6" s="1"/>
  <c r="J30" i="6" s="1"/>
  <c r="J31" i="6" s="1"/>
  <c r="J32" i="6" s="1"/>
  <c r="J33" i="6" s="1"/>
  <c r="J34" i="6" s="1"/>
  <c r="J35" i="6" s="1"/>
  <c r="J36" i="6" s="1"/>
  <c r="J37" i="6" s="1"/>
  <c r="J38" i="6" s="1"/>
  <c r="J39" i="6" s="1"/>
  <c r="J40" i="6" s="1"/>
  <c r="J41" i="6" s="1"/>
  <c r="J42" i="6" s="1"/>
  <c r="J43" i="6" s="1"/>
  <c r="J44" i="6" s="1"/>
  <c r="J45" i="6" s="1"/>
  <c r="J46" i="6" s="1"/>
  <c r="J47" i="6" s="1"/>
  <c r="J48" i="6" s="1"/>
  <c r="J49" i="6" s="1"/>
  <c r="J50" i="6" s="1"/>
  <c r="J51" i="6" s="1"/>
  <c r="J52" i="6" s="1"/>
  <c r="J53" i="6" s="1"/>
  <c r="J54" i="6" s="1"/>
  <c r="J55" i="6" s="1"/>
  <c r="J56" i="6" s="1"/>
  <c r="J57" i="6" s="1"/>
  <c r="J58" i="6" s="1"/>
  <c r="J59" i="6" s="1"/>
  <c r="J60" i="6" s="1"/>
  <c r="J61" i="6" s="1"/>
  <c r="J62" i="6" s="1"/>
  <c r="J63" i="6" s="1"/>
  <c r="J64" i="6" s="1"/>
  <c r="J65" i="6" s="1"/>
  <c r="J66" i="6" s="1"/>
  <c r="J67" i="6" s="1"/>
  <c r="J68" i="6" s="1"/>
  <c r="J69" i="6" s="1"/>
  <c r="J70" i="6" s="1"/>
  <c r="J71" i="6" s="1"/>
  <c r="J72" i="6" s="1"/>
  <c r="J73" i="6" s="1"/>
  <c r="J74" i="6" s="1"/>
  <c r="J75" i="6" s="1"/>
  <c r="J76" i="6" s="1"/>
  <c r="J77" i="6" s="1"/>
  <c r="J78" i="6" s="1"/>
  <c r="J79" i="6" s="1"/>
  <c r="J80" i="6" s="1"/>
  <c r="J81" i="6" s="1"/>
  <c r="J82" i="6" s="1"/>
  <c r="J83" i="6" s="1"/>
  <c r="J84" i="6" s="1"/>
  <c r="J85" i="6" s="1"/>
  <c r="J86" i="6" s="1"/>
  <c r="J87" i="6" s="1"/>
  <c r="J88" i="6" s="1"/>
  <c r="J89" i="6" s="1"/>
  <c r="J90" i="6" s="1"/>
  <c r="J91" i="6" s="1"/>
  <c r="J92" i="6" s="1"/>
  <c r="J93" i="6" s="1"/>
  <c r="J94" i="6" s="1"/>
  <c r="J95" i="6" s="1"/>
  <c r="J96" i="6" s="1"/>
  <c r="J97" i="6" s="1"/>
  <c r="J98" i="6" s="1"/>
  <c r="J99" i="6" s="1"/>
  <c r="J100" i="6" s="1"/>
  <c r="J101" i="6" s="1"/>
  <c r="J102" i="6" s="1"/>
  <c r="J103" i="6" s="1"/>
  <c r="J104" i="6" s="1"/>
  <c r="J105" i="6" s="1"/>
  <c r="J106" i="6" s="1"/>
  <c r="J107" i="6" s="1"/>
  <c r="J108" i="6" s="1"/>
  <c r="J109" i="6" s="1"/>
  <c r="J110" i="6" s="1"/>
  <c r="J111" i="6" s="1"/>
  <c r="J112" i="6" s="1"/>
  <c r="J113" i="6" s="1"/>
  <c r="J114" i="6" s="1"/>
  <c r="J115" i="6" s="1"/>
  <c r="J116" i="6" s="1"/>
  <c r="J117" i="6" s="1"/>
  <c r="J118" i="6" s="1"/>
  <c r="J119" i="6" s="1"/>
  <c r="J120" i="6" s="1"/>
  <c r="J121" i="6" s="1"/>
  <c r="J122" i="6" s="1"/>
  <c r="J123" i="6" s="1"/>
  <c r="J124" i="6" s="1"/>
  <c r="J125" i="6" s="1"/>
  <c r="J126" i="6" s="1"/>
  <c r="J127" i="6" s="1"/>
  <c r="J128" i="6" s="1"/>
  <c r="J129" i="6" s="1"/>
  <c r="J130" i="6" s="1"/>
  <c r="J131" i="6" s="1"/>
  <c r="J132" i="6" s="1"/>
  <c r="J133" i="6" s="1"/>
  <c r="H6" i="6"/>
  <c r="H7" i="6"/>
  <c r="H8" i="6" s="1"/>
  <c r="D8" i="6"/>
  <c r="I15" i="6"/>
  <c r="I16" i="6"/>
  <c r="I17" i="6"/>
  <c r="I18" i="6"/>
  <c r="I19" i="6" s="1"/>
  <c r="I20" i="6" s="1"/>
  <c r="I21" i="6" s="1"/>
  <c r="I22" i="6" s="1"/>
  <c r="I24" i="6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6" i="6"/>
  <c r="I37" i="6" s="1"/>
  <c r="I38" i="6" s="1"/>
  <c r="I39" i="6" s="1"/>
  <c r="I40" i="6" s="1"/>
  <c r="I41" i="6" s="1"/>
  <c r="I42" i="6" s="1"/>
  <c r="I43" i="6"/>
  <c r="I44" i="6"/>
  <c r="I45" i="6" s="1"/>
  <c r="I46" i="6" s="1"/>
  <c r="A33" i="6"/>
  <c r="B35" i="6"/>
  <c r="D35" i="6" s="1"/>
  <c r="B36" i="6"/>
  <c r="A46" i="6"/>
  <c r="A47" i="6"/>
  <c r="A49" i="6"/>
  <c r="B30" i="7"/>
  <c r="D51" i="7" l="1"/>
  <c r="F51" i="7" s="1"/>
  <c r="F53" i="7" s="1"/>
  <c r="D37" i="7"/>
  <c r="F37" i="7" s="1"/>
  <c r="F39" i="7" s="1"/>
  <c r="D56" i="7" s="1"/>
  <c r="D36" i="6"/>
  <c r="D38" i="6"/>
  <c r="H9" i="6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H51" i="6" s="1"/>
  <c r="H52" i="6" s="1"/>
  <c r="H53" i="6" s="1"/>
  <c r="H54" i="6" s="1"/>
  <c r="H55" i="6" s="1"/>
  <c r="H56" i="6" s="1"/>
  <c r="H57" i="6" s="1"/>
  <c r="H58" i="6" s="1"/>
  <c r="H59" i="6" s="1"/>
  <c r="H60" i="6" s="1"/>
  <c r="H61" i="6" s="1"/>
  <c r="H62" i="6" s="1"/>
  <c r="H63" i="6" s="1"/>
  <c r="H64" i="6" s="1"/>
  <c r="H65" i="6" s="1"/>
  <c r="H66" i="6" s="1"/>
  <c r="H67" i="6" s="1"/>
  <c r="H68" i="6" s="1"/>
  <c r="H69" i="6" s="1"/>
  <c r="H70" i="6" s="1"/>
  <c r="H71" i="6" s="1"/>
  <c r="H72" i="6" s="1"/>
  <c r="H73" i="6" s="1"/>
  <c r="H74" i="6" s="1"/>
  <c r="H75" i="6" s="1"/>
  <c r="H76" i="6" s="1"/>
  <c r="H77" i="6" s="1"/>
  <c r="H78" i="6" s="1"/>
  <c r="H79" i="6" s="1"/>
  <c r="H80" i="6" s="1"/>
  <c r="H81" i="6" s="1"/>
  <c r="H82" i="6" s="1"/>
  <c r="H83" i="6" s="1"/>
  <c r="H84" i="6" s="1"/>
  <c r="H85" i="6" s="1"/>
  <c r="H86" i="6" s="1"/>
  <c r="H87" i="6" s="1"/>
  <c r="H88" i="6" s="1"/>
  <c r="H89" i="6" s="1"/>
  <c r="H90" i="6" s="1"/>
  <c r="H91" i="6" s="1"/>
  <c r="H92" i="6" s="1"/>
  <c r="H93" i="6" s="1"/>
  <c r="H94" i="6" s="1"/>
  <c r="H95" i="6" s="1"/>
  <c r="H96" i="6" s="1"/>
  <c r="H97" i="6" s="1"/>
  <c r="H98" i="6" s="1"/>
  <c r="H99" i="6" s="1"/>
  <c r="H100" i="6" s="1"/>
  <c r="H101" i="6" s="1"/>
  <c r="H102" i="6" s="1"/>
  <c r="H103" i="6" s="1"/>
  <c r="H104" i="6" s="1"/>
  <c r="H105" i="6" s="1"/>
  <c r="H106" i="6" s="1"/>
  <c r="H107" i="6" s="1"/>
  <c r="H108" i="6" s="1"/>
  <c r="H109" i="6" s="1"/>
  <c r="H110" i="6" s="1"/>
  <c r="H111" i="6" s="1"/>
  <c r="H112" i="6" s="1"/>
  <c r="H113" i="6" s="1"/>
  <c r="H114" i="6" s="1"/>
  <c r="H115" i="6" s="1"/>
  <c r="H116" i="6" s="1"/>
  <c r="H117" i="6" s="1"/>
  <c r="H118" i="6" s="1"/>
  <c r="H119" i="6" s="1"/>
  <c r="H120" i="6" s="1"/>
  <c r="H121" i="6" s="1"/>
  <c r="H122" i="6" s="1"/>
  <c r="H123" i="6" s="1"/>
  <c r="H124" i="6" s="1"/>
  <c r="H125" i="6" s="1"/>
  <c r="H126" i="6" s="1"/>
  <c r="H127" i="6" s="1"/>
  <c r="H128" i="6" s="1"/>
  <c r="H129" i="6" s="1"/>
  <c r="H130" i="6" s="1"/>
  <c r="H131" i="6" s="1"/>
  <c r="H132" i="6" s="1"/>
  <c r="H133" i="6" s="1"/>
  <c r="J136" i="6"/>
  <c r="B33" i="2"/>
  <c r="B38" i="2" s="1"/>
  <c r="D35" i="2"/>
  <c r="D36" i="2" s="1"/>
  <c r="D38" i="2" s="1"/>
  <c r="J13" i="2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B29" i="6" l="1"/>
  <c r="B34" i="6" s="1"/>
  <c r="B38" i="6" s="1"/>
  <c r="F38" i="6" s="1"/>
  <c r="F40" i="6" s="1"/>
  <c r="D44" i="6"/>
  <c r="F38" i="2"/>
  <c r="F40" i="2" s="1"/>
  <c r="J53" i="2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J83" i="2" s="1"/>
  <c r="J84" i="2" s="1"/>
  <c r="J85" i="2" s="1"/>
  <c r="J86" i="2" s="1"/>
  <c r="J87" i="2" s="1"/>
  <c r="J88" i="2" s="1"/>
  <c r="J89" i="2" s="1"/>
  <c r="J90" i="2" s="1"/>
  <c r="J91" i="2" s="1"/>
  <c r="J92" i="2" s="1"/>
  <c r="J93" i="2" s="1"/>
  <c r="J94" i="2" s="1"/>
  <c r="J95" i="2" s="1"/>
  <c r="J96" i="2" s="1"/>
  <c r="J97" i="2" s="1"/>
  <c r="J98" i="2" s="1"/>
  <c r="J99" i="2" s="1"/>
  <c r="J100" i="2" s="1"/>
  <c r="J101" i="2" s="1"/>
  <c r="J102" i="2" s="1"/>
  <c r="J103" i="2" s="1"/>
  <c r="J104" i="2" s="1"/>
  <c r="J105" i="2" s="1"/>
  <c r="J106" i="2" s="1"/>
  <c r="J107" i="2" s="1"/>
  <c r="J108" i="2" s="1"/>
  <c r="J109" i="2" s="1"/>
  <c r="J110" i="2" s="1"/>
  <c r="J111" i="2" s="1"/>
  <c r="J112" i="2" s="1"/>
  <c r="J113" i="2" s="1"/>
  <c r="J114" i="2" s="1"/>
  <c r="J115" i="2" s="1"/>
  <c r="J116" i="2" s="1"/>
  <c r="J117" i="2" s="1"/>
  <c r="J118" i="2" s="1"/>
  <c r="J119" i="2" s="1"/>
  <c r="J120" i="2" s="1"/>
  <c r="J121" i="2" s="1"/>
  <c r="J122" i="2" s="1"/>
  <c r="J123" i="2" s="1"/>
  <c r="J124" i="2" s="1"/>
  <c r="J125" i="2" s="1"/>
  <c r="J126" i="2" s="1"/>
  <c r="J127" i="2" s="1"/>
  <c r="J128" i="2" s="1"/>
  <c r="J129" i="2" s="1"/>
  <c r="J130" i="2" s="1"/>
  <c r="J131" i="2" s="1"/>
  <c r="J132" i="2" s="1"/>
  <c r="J133" i="2" s="1"/>
  <c r="J136" i="2"/>
  <c r="D44" i="2" s="1"/>
  <c r="D49" i="6" l="1"/>
  <c r="D52" i="6" s="1"/>
  <c r="B50" i="6"/>
  <c r="B52" i="6" s="1"/>
  <c r="D49" i="2"/>
  <c r="D50" i="2" s="1"/>
  <c r="F52" i="6" l="1"/>
  <c r="F54" i="6" s="1"/>
  <c r="D57" i="6" s="1"/>
  <c r="D52" i="2"/>
  <c r="F52" i="2" s="1"/>
  <c r="F54" i="2" s="1"/>
  <c r="D57" i="2" s="1"/>
</calcChain>
</file>

<file path=xl/sharedStrings.xml><?xml version="1.0" encoding="utf-8"?>
<sst xmlns="http://schemas.openxmlformats.org/spreadsheetml/2006/main" count="391" uniqueCount="118">
  <si>
    <t xml:space="preserve">Afweging personenauto in BV of bij de DGA in privé </t>
  </si>
  <si>
    <t>VERSIE 2025</t>
  </si>
  <si>
    <t>Tabel percentage rest-BPM</t>
  </si>
  <si>
    <t>Tabel investeringsaftrek</t>
  </si>
  <si>
    <t xml:space="preserve"> </t>
  </si>
  <si>
    <t>Uitgangspunt van de berekening is dat DGA in privé geen BTW-ondernemer is.</t>
  </si>
  <si>
    <t>tot maand</t>
  </si>
  <si>
    <t>afschrijving</t>
  </si>
  <si>
    <t>rest-BPM</t>
  </si>
  <si>
    <t xml:space="preserve">investering </t>
  </si>
  <si>
    <t xml:space="preserve">maar niet </t>
  </si>
  <si>
    <t>aftrek</t>
  </si>
  <si>
    <t>meer dan</t>
  </si>
  <si>
    <t>invoervelden</t>
  </si>
  <si>
    <t>toelichting</t>
  </si>
  <si>
    <t>Aanschafwaarde</t>
  </si>
  <si>
    <t>€</t>
  </si>
  <si>
    <t>inclusief BTW en BPM</t>
  </si>
  <si>
    <t>28% x investeringstotaal van dit jaar</t>
  </si>
  <si>
    <t>Cataloguswaarde</t>
  </si>
  <si>
    <t>Oorspronkelijke BPM</t>
  </si>
  <si>
    <t xml:space="preserve">€ </t>
  </si>
  <si>
    <t>zie kentekenbewijs deel IA</t>
  </si>
  <si>
    <t>19769 min (7,56% van het investeringstotaal min 130.744)</t>
  </si>
  <si>
    <t>Percentage rest-BPM (bij gebruikte auto)</t>
  </si>
  <si>
    <t>%</t>
  </si>
  <si>
    <t>bij nieuwe auto op 100% laten staan</t>
  </si>
  <si>
    <t>Verwachte restwaarde</t>
  </si>
  <si>
    <t>inclusief btw</t>
  </si>
  <si>
    <t>Geplande gebruiksduur in maanden</t>
  </si>
  <si>
    <t>maanden</t>
  </si>
  <si>
    <t>Milieu-investeringsaftrek, voorbeelden:</t>
  </si>
  <si>
    <t>Verwachte jaarlijkse onderhoudskosten</t>
  </si>
  <si>
    <t>incl. BTW (zie evt. www.anwb.nl, zoek op "autokosten")</t>
  </si>
  <si>
    <t>Jaarlijkse kosten motorrijtuigenbelasting (MRB)</t>
  </si>
  <si>
    <t>zie www.belastingdienst.nl/mrb</t>
  </si>
  <si>
    <t>Jaarlijkse kosten verzekering</t>
  </si>
  <si>
    <t>Rente financiering</t>
  </si>
  <si>
    <t>Brandstofverbruik</t>
  </si>
  <si>
    <t>liter/100 km</t>
  </si>
  <si>
    <t>Brandstofprijs per liter</t>
  </si>
  <si>
    <t>inclusief BTW</t>
  </si>
  <si>
    <t>Aantal privé-kilometers per jaar</t>
  </si>
  <si>
    <t>km</t>
  </si>
  <si>
    <t>Aantal zakelijke km's per jaar</t>
  </si>
  <si>
    <t>inclusief woon-werkverkeer</t>
  </si>
  <si>
    <t>Vergoeding per km indien auto in privé</t>
  </si>
  <si>
    <t>ct/km</t>
  </si>
  <si>
    <t>Bijtellingscategorie</t>
  </si>
  <si>
    <t>Investeringsaftrek</t>
  </si>
  <si>
    <t>Belastingtarief privé</t>
  </si>
  <si>
    <t>Belastingtarief BV</t>
  </si>
  <si>
    <t>Alternatief 1: aanschaf auto in privé (DGA zonder BTW-aftrek in privé)</t>
  </si>
  <si>
    <t>Privé</t>
  </si>
  <si>
    <t>BV</t>
  </si>
  <si>
    <t>Totaal</t>
  </si>
  <si>
    <t>Afschrijving</t>
  </si>
  <si>
    <t>Rente</t>
  </si>
  <si>
    <t>Verzekering/MRB/onderhoud</t>
  </si>
  <si>
    <t>Brandstof</t>
  </si>
  <si>
    <t>Totale kosten</t>
  </si>
  <si>
    <t>Kilometervergoeding</t>
  </si>
  <si>
    <t xml:space="preserve">Inkomsten-/Vennootschapsbelasting </t>
  </si>
  <si>
    <t>Inkomstenbelasting box 2</t>
  </si>
  <si>
    <t>Netto last per jaar</t>
  </si>
  <si>
    <t>Netto last hele gebruiksduur</t>
  </si>
  <si>
    <t>Alternatief 2: aanschaf auto in de BV</t>
  </si>
  <si>
    <t>Prive</t>
  </si>
  <si>
    <t>BTW over privégebruik</t>
  </si>
  <si>
    <t xml:space="preserve">Inkomstenbelasting over de bijtelling </t>
  </si>
  <si>
    <t xml:space="preserve">Netto last per jaar </t>
  </si>
  <si>
    <t>*)</t>
  </si>
  <si>
    <t xml:space="preserve">Netto last hele gebruiksduur </t>
  </si>
  <si>
    <t>Bij de gekozen invoergegevens kunt u de auto het beste aanschaffen:</t>
  </si>
  <si>
    <t>NB: bij aanschaf van een bestelauto dient er rekening mee te worden gehouden dat alleen bij aanschaf in de B.V.</t>
  </si>
  <si>
    <t>recht bestaat op een vrijstelling van BPM, toepassing van de BPM-doorschuifregeling (gebruikte bestelauto) en evt.</t>
  </si>
  <si>
    <t>investeringsaftrek. Idem voor de MIA op een nieuwe (semi)elektrische auto.</t>
  </si>
  <si>
    <t>*) De evt. investeringsaftrek is verwerkt in dit jaartotaal, dat in dat geval geldt voor jaar 1. In de netto last voor de hele</t>
  </si>
  <si>
    <t>gebruiksduur is de investeringsaftrek uitsluitend verwerkt voor het investeringsjaar.</t>
  </si>
  <si>
    <t>(c) 2025 mr. H.A. Elbert - Elbert Fiscaal -</t>
  </si>
  <si>
    <t>Hoewel aan de samenstelling de uiterste zorg is besteed, aanvaardt mr. H.A. Elbert - Elbert Fiscaal - geen enkele</t>
  </si>
  <si>
    <t>aansprakelijkheid voor gebruik van dit rekenmodel zonder dat haar adviseurs daarbij in het concrete geval betrokken zijn.</t>
  </si>
  <si>
    <t>alle volgende maanden: afschrijving = 0,083% per maand</t>
  </si>
  <si>
    <t>Rest-BPM bij inruil:</t>
  </si>
  <si>
    <t>Afweging personenauto in de eenmanszaak of in privé</t>
  </si>
  <si>
    <t>Uitgangspunt is dat bij aanschaf in privé gekozen wordt voor kwalificatie als BTW-ondernemingsvermogen</t>
  </si>
  <si>
    <t>19769 min (7,56% investeringstotaal min 130.744)</t>
  </si>
  <si>
    <t>Zie tabblad bestelauto</t>
  </si>
  <si>
    <t>Rentepercentage financiering</t>
  </si>
  <si>
    <t>Investeringsaftrek (KIA en/of MIA)</t>
  </si>
  <si>
    <t>KIA op bestelauto / MIA bij bijvoorbeeld waterstof</t>
  </si>
  <si>
    <t xml:space="preserve">Belastingtarief </t>
  </si>
  <si>
    <t>(het model houdt zelf rekening met MKB-winstvrijstelling)</t>
  </si>
  <si>
    <t xml:space="preserve">Alternatief 1: aanschaf auto in privé </t>
  </si>
  <si>
    <t>Onderneming</t>
  </si>
  <si>
    <t>Inkomstenbelasting</t>
  </si>
  <si>
    <t>Alternatief 2: aanschaf auto in de zaak</t>
  </si>
  <si>
    <t>voor gebruik van dit rekenmodel zonder dat haar adviseurs daarbij in het concrete geval betrokken zijn.</t>
  </si>
  <si>
    <t>alle volgende maanden: afschrijving = 0,19% per maand</t>
  </si>
  <si>
    <t>Bestelauto in de eenmanszaak of in privé</t>
  </si>
  <si>
    <t>Kleinschaligheidsinvesteringsaftrek:</t>
  </si>
  <si>
    <t>incl. BTW (nieuw of met doorschuifregeling BPM: bij bestelauto's uit 2024 of eerder excl. BPM)</t>
  </si>
  <si>
    <t>19769 min ( 7,56%</t>
  </si>
  <si>
    <t>van investering min 130.744)</t>
  </si>
  <si>
    <t>Waterstof aangedreven personenauto</t>
  </si>
  <si>
    <t>45% MIA over max 90% van het investeringsbedrag, max 75.000</t>
  </si>
  <si>
    <t>Elektrische personenauto met zonnepanelen</t>
  </si>
  <si>
    <t>36%MIA over max 90% van het investeringsbedrag met een maximum van 100.000</t>
  </si>
  <si>
    <t>Waterstof aangedreven bestelauto</t>
  </si>
  <si>
    <t>45% MIA over max 90% van het investeringsbedrag, max 125.000</t>
  </si>
  <si>
    <t xml:space="preserve">  </t>
  </si>
  <si>
    <t>KIA op bestelauto / MIA bij bijvoorbeeld EV-/SOLAR-bestelauto</t>
  </si>
  <si>
    <t>Netto last per jaar *)</t>
  </si>
  <si>
    <t>N.B.: het rekenmodel houdt geen rekening met de baangerelateerde investeringskorting, omdat dit niet bij iedereen</t>
  </si>
  <si>
    <t>van toepassing is (nl. een afdrachtvermindering van loonheffing)</t>
  </si>
  <si>
    <t>Vul je gegevens in</t>
  </si>
  <si>
    <r>
      <t xml:space="preserve">inclusief BTW </t>
    </r>
    <r>
      <rPr>
        <b/>
        <u/>
        <sz val="7"/>
        <rFont val="Calibri"/>
        <family val="2"/>
        <scheme val="minor"/>
      </rPr>
      <t>en BPM</t>
    </r>
  </si>
  <si>
    <r>
      <rPr>
        <u/>
        <sz val="7"/>
        <rFont val="Calibri"/>
        <family val="2"/>
        <scheme val="minor"/>
      </rPr>
      <t>exclusief</t>
    </r>
    <r>
      <rPr>
        <sz val="7"/>
        <rFont val="Calibri"/>
        <family val="2"/>
        <scheme val="minor"/>
      </rPr>
      <t xml:space="preserve"> btw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</si>
</sst>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€&quot;\ #,##0;[Red]&quot;€&quot;\ \-#,##0"/>
    <numFmt numFmtId="164" formatCode="_-* #,##0.00_-;_-* #,##0.00\-;_-* &quot;-&quot;??_-;_-@_-"/>
    <numFmt numFmtId="165" formatCode="#,##0.0"/>
    <numFmt numFmtId="166" formatCode="#,##0.000"/>
    <numFmt numFmtId="167" formatCode="&quot;€&quot;\ #,##0"/>
    <numFmt numFmtId="168" formatCode="&quot;€&quot;\ #,##0.00"/>
  </numFmts>
  <fonts count="18">
    <font>
      <sz val="12"/>
      <name val="Arial MT"/>
    </font>
    <font>
      <sz val="10"/>
      <name val="Arial"/>
      <family val="2"/>
    </font>
    <font>
      <u/>
      <sz val="14.4"/>
      <color theme="10"/>
      <name val="Arial MT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sz val="7"/>
      <name val="Calibri"/>
      <family val="2"/>
      <scheme val="minor"/>
    </font>
    <font>
      <u/>
      <sz val="7"/>
      <name val="Calibri"/>
      <family val="2"/>
      <scheme val="minor"/>
    </font>
    <font>
      <i/>
      <sz val="10"/>
      <name val="Calibri"/>
      <family val="2"/>
      <scheme val="minor"/>
    </font>
    <font>
      <sz val="7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FB4D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166" fontId="3" fillId="0" borderId="0" xfId="0" applyNumberFormat="1" applyFont="1"/>
    <xf numFmtId="3" fontId="3" fillId="0" borderId="0" xfId="0" applyNumberFormat="1" applyFont="1"/>
    <xf numFmtId="3" fontId="3" fillId="3" borderId="0" xfId="0" applyNumberFormat="1" applyFont="1" applyFill="1"/>
    <xf numFmtId="0" fontId="3" fillId="3" borderId="0" xfId="0" applyFont="1" applyFill="1"/>
    <xf numFmtId="165" fontId="3" fillId="3" borderId="0" xfId="0" applyNumberFormat="1" applyFont="1" applyFill="1"/>
    <xf numFmtId="0" fontId="4" fillId="3" borderId="0" xfId="0" applyFont="1" applyFill="1"/>
    <xf numFmtId="0" fontId="3" fillId="4" borderId="6" xfId="0" applyFont="1" applyFill="1" applyBorder="1"/>
    <xf numFmtId="3" fontId="8" fillId="4" borderId="0" xfId="0" applyNumberFormat="1" applyFont="1" applyFill="1"/>
    <xf numFmtId="0" fontId="8" fillId="4" borderId="0" xfId="0" applyFont="1" applyFill="1"/>
    <xf numFmtId="165" fontId="8" fillId="4" borderId="0" xfId="0" applyNumberFormat="1" applyFont="1" applyFill="1"/>
    <xf numFmtId="4" fontId="8" fillId="4" borderId="0" xfId="0" applyNumberFormat="1" applyFont="1" applyFill="1"/>
    <xf numFmtId="0" fontId="12" fillId="0" borderId="0" xfId="0" applyFont="1"/>
    <xf numFmtId="3" fontId="9" fillId="4" borderId="0" xfId="0" applyNumberFormat="1" applyFont="1" applyFill="1"/>
    <xf numFmtId="166" fontId="3" fillId="3" borderId="0" xfId="0" applyNumberFormat="1" applyFont="1" applyFill="1"/>
    <xf numFmtId="0" fontId="11" fillId="3" borderId="0" xfId="0" applyFont="1" applyFill="1" applyAlignment="1">
      <alignment horizontal="left"/>
    </xf>
    <xf numFmtId="3" fontId="12" fillId="3" borderId="0" xfId="0" applyNumberFormat="1" applyFont="1" applyFill="1"/>
    <xf numFmtId="0" fontId="12" fillId="3" borderId="0" xfId="0" applyFont="1" applyFill="1"/>
    <xf numFmtId="0" fontId="4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7" fillId="3" borderId="0" xfId="0" applyFont="1" applyFill="1"/>
    <xf numFmtId="0" fontId="3" fillId="4" borderId="4" xfId="0" applyFont="1" applyFill="1" applyBorder="1"/>
    <xf numFmtId="3" fontId="3" fillId="4" borderId="5" xfId="0" applyNumberFormat="1" applyFont="1" applyFill="1" applyBorder="1"/>
    <xf numFmtId="0" fontId="3" fillId="4" borderId="5" xfId="0" applyFont="1" applyFill="1" applyBorder="1"/>
    <xf numFmtId="0" fontId="4" fillId="5" borderId="1" xfId="0" applyFont="1" applyFill="1" applyBorder="1" applyAlignment="1">
      <alignment horizontal="left"/>
    </xf>
    <xf numFmtId="3" fontId="3" fillId="5" borderId="1" xfId="0" applyNumberFormat="1" applyFont="1" applyFill="1" applyBorder="1"/>
    <xf numFmtId="0" fontId="3" fillId="5" borderId="1" xfId="0" applyFont="1" applyFill="1" applyBorder="1"/>
    <xf numFmtId="0" fontId="3" fillId="5" borderId="0" xfId="0" applyFont="1" applyFill="1"/>
    <xf numFmtId="3" fontId="3" fillId="5" borderId="1" xfId="0" applyNumberFormat="1" applyFont="1" applyFill="1" applyBorder="1" applyAlignment="1">
      <alignment horizontal="right"/>
    </xf>
    <xf numFmtId="0" fontId="3" fillId="5" borderId="0" xfId="0" applyFont="1" applyFill="1" applyAlignment="1">
      <alignment horizontal="right"/>
    </xf>
    <xf numFmtId="0" fontId="3" fillId="5" borderId="1" xfId="0" applyFont="1" applyFill="1" applyBorder="1" applyAlignment="1">
      <alignment horizontal="right"/>
    </xf>
    <xf numFmtId="0" fontId="3" fillId="5" borderId="0" xfId="0" applyFont="1" applyFill="1" applyAlignment="1">
      <alignment horizontal="left"/>
    </xf>
    <xf numFmtId="3" fontId="3" fillId="5" borderId="0" xfId="0" applyNumberFormat="1" applyFont="1" applyFill="1"/>
    <xf numFmtId="3" fontId="3" fillId="5" borderId="2" xfId="0" applyNumberFormat="1" applyFont="1" applyFill="1" applyBorder="1"/>
    <xf numFmtId="3" fontId="3" fillId="5" borderId="0" xfId="2" applyNumberFormat="1" applyFont="1" applyFill="1" applyProtection="1"/>
    <xf numFmtId="3" fontId="3" fillId="5" borderId="3" xfId="0" applyNumberFormat="1" applyFont="1" applyFill="1" applyBorder="1"/>
    <xf numFmtId="3" fontId="4" fillId="5" borderId="3" xfId="0" applyNumberFormat="1" applyFont="1" applyFill="1" applyBorder="1"/>
    <xf numFmtId="0" fontId="9" fillId="2" borderId="0" xfId="0" applyFont="1" applyFill="1"/>
    <xf numFmtId="0" fontId="3" fillId="2" borderId="0" xfId="0" applyFont="1" applyFill="1"/>
    <xf numFmtId="0" fontId="4" fillId="2" borderId="0" xfId="0" applyFont="1" applyFill="1"/>
    <xf numFmtId="3" fontId="3" fillId="2" borderId="0" xfId="0" applyNumberFormat="1" applyFont="1" applyFill="1"/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1" applyFont="1" applyFill="1" applyAlignment="1" applyProtection="1"/>
    <xf numFmtId="0" fontId="13" fillId="3" borderId="0" xfId="0" applyFont="1" applyFill="1"/>
    <xf numFmtId="0" fontId="11" fillId="6" borderId="0" xfId="0" applyFont="1" applyFill="1"/>
    <xf numFmtId="0" fontId="12" fillId="6" borderId="0" xfId="0" applyFont="1" applyFill="1"/>
    <xf numFmtId="166" fontId="12" fillId="6" borderId="0" xfId="0" applyNumberFormat="1" applyFont="1" applyFill="1"/>
    <xf numFmtId="0" fontId="3" fillId="6" borderId="0" xfId="0" applyFont="1" applyFill="1" applyAlignment="1">
      <alignment horizontal="right"/>
    </xf>
    <xf numFmtId="0" fontId="3" fillId="6" borderId="0" xfId="0" applyFont="1" applyFill="1"/>
    <xf numFmtId="166" fontId="3" fillId="6" borderId="0" xfId="0" applyNumberFormat="1" applyFont="1" applyFill="1"/>
    <xf numFmtId="166" fontId="3" fillId="6" borderId="0" xfId="0" applyNumberFormat="1" applyFont="1" applyFill="1" applyAlignment="1">
      <alignment horizontal="right"/>
    </xf>
    <xf numFmtId="1" fontId="3" fillId="6" borderId="0" xfId="0" applyNumberFormat="1" applyFont="1" applyFill="1"/>
    <xf numFmtId="0" fontId="4" fillId="6" borderId="0" xfId="0" applyFont="1" applyFill="1" applyAlignment="1">
      <alignment horizontal="right"/>
    </xf>
    <xf numFmtId="0" fontId="4" fillId="6" borderId="0" xfId="0" applyFont="1" applyFill="1"/>
    <xf numFmtId="3" fontId="3" fillId="6" borderId="0" xfId="0" applyNumberFormat="1" applyFont="1" applyFill="1"/>
    <xf numFmtId="0" fontId="3" fillId="6" borderId="0" xfId="0" applyFont="1" applyFill="1" applyAlignment="1">
      <alignment horizontal="left"/>
    </xf>
    <xf numFmtId="6" fontId="3" fillId="6" borderId="0" xfId="0" applyNumberFormat="1" applyFont="1" applyFill="1" applyAlignment="1">
      <alignment horizontal="left"/>
    </xf>
    <xf numFmtId="0" fontId="3" fillId="6" borderId="0" xfId="0" applyFont="1" applyFill="1" applyAlignment="1">
      <alignment horizontal="left" wrapText="1"/>
    </xf>
    <xf numFmtId="9" fontId="3" fillId="6" borderId="0" xfId="0" applyNumberFormat="1" applyFont="1" applyFill="1" applyAlignment="1">
      <alignment horizontal="left"/>
    </xf>
    <xf numFmtId="3" fontId="11" fillId="3" borderId="7" xfId="0" applyNumberFormat="1" applyFont="1" applyFill="1" applyBorder="1" applyAlignment="1">
      <alignment horizontal="center"/>
    </xf>
    <xf numFmtId="0" fontId="3" fillId="4" borderId="0" xfId="0" applyFont="1" applyFill="1"/>
    <xf numFmtId="0" fontId="17" fillId="4" borderId="0" xfId="0" applyFont="1" applyFill="1"/>
    <xf numFmtId="3" fontId="3" fillId="5" borderId="0" xfId="2" applyNumberFormat="1" applyFont="1" applyFill="1"/>
    <xf numFmtId="0" fontId="3" fillId="6" borderId="0" xfId="0" applyFont="1" applyFill="1" applyAlignment="1">
      <alignment wrapText="1"/>
    </xf>
    <xf numFmtId="3" fontId="3" fillId="6" borderId="0" xfId="0" applyNumberFormat="1" applyFont="1" applyFill="1" applyAlignment="1">
      <alignment horizontal="left"/>
    </xf>
    <xf numFmtId="167" fontId="3" fillId="6" borderId="0" xfId="0" applyNumberFormat="1" applyFont="1" applyFill="1" applyAlignment="1">
      <alignment horizontal="left"/>
    </xf>
    <xf numFmtId="0" fontId="13" fillId="6" borderId="0" xfId="0" applyFont="1" applyFill="1"/>
    <xf numFmtId="0" fontId="16" fillId="6" borderId="0" xfId="0" applyFont="1" applyFill="1"/>
    <xf numFmtId="168" fontId="3" fillId="6" borderId="0" xfId="0" applyNumberFormat="1" applyFont="1" applyFill="1" applyAlignment="1">
      <alignment horizontal="left"/>
    </xf>
    <xf numFmtId="0" fontId="5" fillId="2" borderId="0" xfId="0" applyFont="1" applyFill="1" applyAlignment="1">
      <alignment wrapText="1"/>
    </xf>
  </cellXfs>
  <cellStyles count="3">
    <cellStyle name="Hyperlink" xfId="1" builtinId="8"/>
    <cellStyle name="Komma" xfId="2" builtinId="3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2FB4D2"/>
      <color rgb="FF808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2161136</xdr:colOff>
      <xdr:row>1</xdr:row>
      <xdr:rowOff>7938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68F870E7-518E-580A-4DFD-7468E912A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1136" cy="6429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2161136</xdr:colOff>
      <xdr:row>0</xdr:row>
      <xdr:rowOff>642938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2629EF9-EBC1-426C-B1FE-CEC94161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1136" cy="6429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2161136</xdr:colOff>
      <xdr:row>0</xdr:row>
      <xdr:rowOff>642938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8F9800C-915A-4C3E-B185-55037A30F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1136" cy="642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8"/>
  <sheetViews>
    <sheetView showGridLines="0" tabSelected="1" zoomScale="120" zoomScaleNormal="120" workbookViewId="0">
      <selection activeCell="G2" sqref="G2"/>
    </sheetView>
  </sheetViews>
  <sheetFormatPr defaultColWidth="9.77734375" defaultRowHeight="12.75"/>
  <cols>
    <col min="1" max="1" width="32.109375" style="5" customWidth="1"/>
    <col min="2" max="2" width="11.88671875" style="4" customWidth="1"/>
    <col min="3" max="3" width="5.77734375" style="5" customWidth="1"/>
    <col min="4" max="4" width="10.77734375" style="5" customWidth="1"/>
    <col min="5" max="5" width="5.77734375" style="5" customWidth="1"/>
    <col min="6" max="6" width="15" style="4" customWidth="1"/>
    <col min="7" max="7" width="9.77734375" style="5"/>
    <col min="8" max="9" width="10.77734375" style="5" customWidth="1"/>
    <col min="10" max="10" width="10.77734375" style="15" customWidth="1"/>
    <col min="11" max="14" width="10.77734375" style="5" customWidth="1"/>
    <col min="15" max="15" width="35.5546875" style="5" bestFit="1" customWidth="1"/>
    <col min="16" max="16384" width="9.77734375" style="5"/>
  </cols>
  <sheetData>
    <row r="1" spans="1:15" ht="50.25" customHeight="1"/>
    <row r="2" spans="1:15" s="18" customFormat="1" ht="23.25">
      <c r="A2" s="16" t="s">
        <v>0</v>
      </c>
      <c r="B2" s="17"/>
      <c r="F2" s="62" t="s">
        <v>1</v>
      </c>
      <c r="H2" s="47" t="s">
        <v>2</v>
      </c>
      <c r="I2" s="48"/>
      <c r="J2" s="49"/>
      <c r="L2" s="47" t="s">
        <v>3</v>
      </c>
      <c r="M2" s="48"/>
      <c r="N2" s="48"/>
      <c r="O2" s="48"/>
    </row>
    <row r="3" spans="1:15">
      <c r="A3" s="19"/>
      <c r="H3" s="50" t="s">
        <v>4</v>
      </c>
      <c r="I3" s="51" t="s">
        <v>4</v>
      </c>
      <c r="J3" s="52"/>
      <c r="L3" s="51"/>
      <c r="M3" s="51"/>
      <c r="N3" s="51"/>
      <c r="O3" s="51"/>
    </row>
    <row r="4" spans="1:15" ht="15">
      <c r="A4" s="20" t="s">
        <v>5</v>
      </c>
      <c r="H4" s="50" t="s">
        <v>6</v>
      </c>
      <c r="I4" s="50" t="s">
        <v>7</v>
      </c>
      <c r="J4" s="53" t="s">
        <v>8</v>
      </c>
      <c r="L4" s="55" t="s">
        <v>9</v>
      </c>
      <c r="M4" s="55" t="s">
        <v>10</v>
      </c>
      <c r="N4" s="55"/>
      <c r="O4" s="56" t="s">
        <v>11</v>
      </c>
    </row>
    <row r="5" spans="1:15">
      <c r="A5" s="5" t="s">
        <v>4</v>
      </c>
      <c r="H5" s="51">
        <v>1</v>
      </c>
      <c r="I5" s="51">
        <v>12</v>
      </c>
      <c r="J5" s="51">
        <f>100-I5</f>
        <v>88</v>
      </c>
      <c r="L5" s="55" t="s">
        <v>12</v>
      </c>
      <c r="M5" s="55" t="s">
        <v>12</v>
      </c>
      <c r="N5" s="55"/>
      <c r="O5" s="56"/>
    </row>
    <row r="6" spans="1:15">
      <c r="A6" s="39"/>
      <c r="B6" s="14" t="s">
        <v>115</v>
      </c>
      <c r="C6" s="63"/>
      <c r="D6" s="41" t="s">
        <v>14</v>
      </c>
      <c r="E6" s="40"/>
      <c r="F6" s="42"/>
      <c r="H6" s="51">
        <f>H5+1</f>
        <v>2</v>
      </c>
      <c r="I6" s="51">
        <v>4</v>
      </c>
      <c r="J6" s="51">
        <f t="shared" ref="J6:J15" si="0">J5-I6</f>
        <v>84</v>
      </c>
      <c r="L6" s="57">
        <v>0</v>
      </c>
      <c r="M6" s="57">
        <v>2900</v>
      </c>
      <c r="N6" s="57"/>
      <c r="O6" s="58">
        <v>0</v>
      </c>
    </row>
    <row r="7" spans="1:15">
      <c r="A7" s="43" t="s">
        <v>15</v>
      </c>
      <c r="B7" s="9">
        <v>39990</v>
      </c>
      <c r="C7" s="64" t="s">
        <v>16</v>
      </c>
      <c r="D7" s="44" t="s">
        <v>17</v>
      </c>
      <c r="E7" s="40"/>
      <c r="F7" s="40"/>
      <c r="H7" s="51">
        <f t="shared" ref="H7:H15" si="1">H6+1</f>
        <v>3</v>
      </c>
      <c r="I7" s="51">
        <v>4</v>
      </c>
      <c r="J7" s="51">
        <f t="shared" si="0"/>
        <v>80</v>
      </c>
      <c r="L7" s="57">
        <v>2900</v>
      </c>
      <c r="M7" s="57">
        <v>70602</v>
      </c>
      <c r="N7" s="57"/>
      <c r="O7" s="58" t="s">
        <v>18</v>
      </c>
    </row>
    <row r="8" spans="1:15">
      <c r="A8" s="40" t="s">
        <v>19</v>
      </c>
      <c r="B8" s="9">
        <v>39990</v>
      </c>
      <c r="C8" s="64" t="s">
        <v>16</v>
      </c>
      <c r="D8" s="44" t="str">
        <f>D7</f>
        <v>inclusief BTW en BPM</v>
      </c>
      <c r="E8" s="40"/>
      <c r="F8" s="40"/>
      <c r="H8" s="51">
        <f t="shared" si="1"/>
        <v>4</v>
      </c>
      <c r="I8" s="51">
        <v>3.5</v>
      </c>
      <c r="J8" s="51">
        <f t="shared" si="0"/>
        <v>76.5</v>
      </c>
      <c r="L8" s="57">
        <f>M7</f>
        <v>70602</v>
      </c>
      <c r="M8" s="57">
        <v>130744</v>
      </c>
      <c r="N8" s="57"/>
      <c r="O8" s="59">
        <v>19769</v>
      </c>
    </row>
    <row r="9" spans="1:15" ht="25.5">
      <c r="A9" s="40" t="s">
        <v>20</v>
      </c>
      <c r="B9" s="9">
        <v>4124</v>
      </c>
      <c r="C9" s="64" t="s">
        <v>21</v>
      </c>
      <c r="D9" s="44" t="s">
        <v>22</v>
      </c>
      <c r="E9" s="40"/>
      <c r="F9" s="40"/>
      <c r="H9" s="51">
        <f t="shared" si="1"/>
        <v>5</v>
      </c>
      <c r="I9" s="51">
        <v>3.5</v>
      </c>
      <c r="J9" s="51">
        <f t="shared" si="0"/>
        <v>73</v>
      </c>
      <c r="L9" s="57">
        <f>M8</f>
        <v>130744</v>
      </c>
      <c r="M9" s="57">
        <v>392230</v>
      </c>
      <c r="N9" s="57"/>
      <c r="O9" s="60" t="s">
        <v>23</v>
      </c>
    </row>
    <row r="10" spans="1:15">
      <c r="A10" s="40" t="s">
        <v>24</v>
      </c>
      <c r="B10" s="10">
        <v>100</v>
      </c>
      <c r="C10" s="64" t="s">
        <v>25</v>
      </c>
      <c r="D10" s="44" t="s">
        <v>26</v>
      </c>
      <c r="E10" s="40"/>
      <c r="F10" s="40"/>
      <c r="H10" s="51">
        <f t="shared" si="1"/>
        <v>6</v>
      </c>
      <c r="I10" s="51">
        <v>1.5</v>
      </c>
      <c r="J10" s="51">
        <f t="shared" si="0"/>
        <v>71.5</v>
      </c>
      <c r="L10" s="57">
        <f>M9</f>
        <v>392230</v>
      </c>
      <c r="M10" s="57"/>
      <c r="N10" s="57"/>
      <c r="O10" s="58">
        <v>0</v>
      </c>
    </row>
    <row r="11" spans="1:15">
      <c r="A11" s="40" t="s">
        <v>27</v>
      </c>
      <c r="B11" s="9">
        <v>15000</v>
      </c>
      <c r="C11" s="64" t="s">
        <v>21</v>
      </c>
      <c r="D11" s="44" t="s">
        <v>28</v>
      </c>
      <c r="E11" s="40"/>
      <c r="F11" s="40"/>
      <c r="H11" s="51">
        <f t="shared" si="1"/>
        <v>7</v>
      </c>
      <c r="I11" s="51">
        <v>1.5</v>
      </c>
      <c r="J11" s="51">
        <f t="shared" si="0"/>
        <v>70</v>
      </c>
      <c r="L11" s="51"/>
      <c r="M11" s="51"/>
      <c r="N11" s="51"/>
      <c r="O11" s="51"/>
    </row>
    <row r="12" spans="1:15">
      <c r="A12" s="40" t="s">
        <v>29</v>
      </c>
      <c r="B12" s="9">
        <v>48</v>
      </c>
      <c r="C12" s="64" t="s">
        <v>30</v>
      </c>
      <c r="D12" s="44"/>
      <c r="E12" s="40"/>
      <c r="F12" s="40"/>
      <c r="H12" s="51">
        <f t="shared" si="1"/>
        <v>8</v>
      </c>
      <c r="I12" s="51">
        <v>1.5</v>
      </c>
      <c r="J12" s="51">
        <f t="shared" si="0"/>
        <v>68.5</v>
      </c>
      <c r="L12" s="56" t="s">
        <v>31</v>
      </c>
      <c r="M12" s="51"/>
      <c r="N12" s="51"/>
      <c r="O12" s="51"/>
    </row>
    <row r="13" spans="1:15">
      <c r="A13" s="40" t="s">
        <v>32</v>
      </c>
      <c r="B13" s="9">
        <v>800</v>
      </c>
      <c r="C13" s="64" t="s">
        <v>16</v>
      </c>
      <c r="D13" s="44" t="s">
        <v>33</v>
      </c>
      <c r="E13" s="40"/>
      <c r="F13" s="40"/>
      <c r="H13" s="51">
        <f t="shared" si="1"/>
        <v>9</v>
      </c>
      <c r="I13" s="51">
        <v>1</v>
      </c>
      <c r="J13" s="51">
        <f t="shared" si="0"/>
        <v>67.5</v>
      </c>
      <c r="L13" s="51"/>
      <c r="M13" s="51"/>
      <c r="N13" s="51"/>
      <c r="O13" s="51"/>
    </row>
    <row r="14" spans="1:15">
      <c r="A14" s="40" t="s">
        <v>34</v>
      </c>
      <c r="B14" s="9">
        <v>720</v>
      </c>
      <c r="C14" s="64" t="s">
        <v>16</v>
      </c>
      <c r="D14" s="44" t="s">
        <v>35</v>
      </c>
      <c r="E14" s="40"/>
      <c r="F14" s="40"/>
      <c r="H14" s="51">
        <f t="shared" si="1"/>
        <v>10</v>
      </c>
      <c r="I14" s="51">
        <v>1</v>
      </c>
      <c r="J14" s="51">
        <f t="shared" si="0"/>
        <v>66.5</v>
      </c>
      <c r="L14" s="51"/>
      <c r="M14" s="51"/>
      <c r="N14" s="51"/>
      <c r="O14" s="51"/>
    </row>
    <row r="15" spans="1:15">
      <c r="A15" s="40" t="s">
        <v>36</v>
      </c>
      <c r="B15" s="9">
        <v>1150</v>
      </c>
      <c r="C15" s="64" t="s">
        <v>16</v>
      </c>
      <c r="D15" s="44"/>
      <c r="E15" s="40"/>
      <c r="F15" s="40"/>
      <c r="H15" s="51">
        <f t="shared" si="1"/>
        <v>11</v>
      </c>
      <c r="I15" s="51">
        <f t="shared" ref="I15:I22" si="2">I14</f>
        <v>1</v>
      </c>
      <c r="J15" s="51">
        <f t="shared" si="0"/>
        <v>65.5</v>
      </c>
      <c r="L15" s="51"/>
      <c r="M15" s="51"/>
      <c r="N15" s="51"/>
      <c r="O15" s="61"/>
    </row>
    <row r="16" spans="1:15">
      <c r="A16" s="40" t="s">
        <v>37</v>
      </c>
      <c r="B16" s="11">
        <v>2.9</v>
      </c>
      <c r="C16" s="64" t="s">
        <v>25</v>
      </c>
      <c r="D16" s="44"/>
      <c r="E16" s="40"/>
      <c r="F16" s="40"/>
      <c r="H16" s="51">
        <f t="shared" ref="H16:H51" si="3">H15+1</f>
        <v>12</v>
      </c>
      <c r="I16" s="51">
        <f t="shared" si="2"/>
        <v>1</v>
      </c>
      <c r="J16" s="51">
        <f t="shared" ref="J16:J51" si="4">J15-I16</f>
        <v>64.5</v>
      </c>
      <c r="L16" s="51"/>
      <c r="M16" s="51"/>
      <c r="N16" s="51"/>
      <c r="O16" s="51"/>
    </row>
    <row r="17" spans="1:10">
      <c r="A17" s="40" t="s">
        <v>38</v>
      </c>
      <c r="B17" s="9">
        <v>7</v>
      </c>
      <c r="C17" s="64" t="s">
        <v>39</v>
      </c>
      <c r="D17" s="44"/>
      <c r="E17" s="40"/>
      <c r="F17" s="40"/>
      <c r="H17" s="51">
        <f t="shared" si="3"/>
        <v>13</v>
      </c>
      <c r="I17" s="51">
        <f t="shared" si="2"/>
        <v>1</v>
      </c>
      <c r="J17" s="51">
        <f t="shared" si="4"/>
        <v>63.5</v>
      </c>
    </row>
    <row r="18" spans="1:10">
      <c r="A18" s="40" t="s">
        <v>40</v>
      </c>
      <c r="B18" s="12">
        <v>1.92</v>
      </c>
      <c r="C18" s="64" t="s">
        <v>21</v>
      </c>
      <c r="D18" s="44" t="s">
        <v>41</v>
      </c>
      <c r="E18" s="40"/>
      <c r="F18" s="40"/>
      <c r="H18" s="51">
        <f t="shared" si="3"/>
        <v>14</v>
      </c>
      <c r="I18" s="51">
        <f t="shared" si="2"/>
        <v>1</v>
      </c>
      <c r="J18" s="51">
        <f t="shared" si="4"/>
        <v>62.5</v>
      </c>
    </row>
    <row r="19" spans="1:10">
      <c r="A19" s="40" t="s">
        <v>42</v>
      </c>
      <c r="B19" s="9">
        <v>10000</v>
      </c>
      <c r="C19" s="64" t="s">
        <v>43</v>
      </c>
      <c r="D19" s="44"/>
      <c r="E19" s="40"/>
      <c r="F19" s="40"/>
      <c r="H19" s="51">
        <f t="shared" si="3"/>
        <v>15</v>
      </c>
      <c r="I19" s="51">
        <f t="shared" si="2"/>
        <v>1</v>
      </c>
      <c r="J19" s="51">
        <f t="shared" si="4"/>
        <v>61.5</v>
      </c>
    </row>
    <row r="20" spans="1:10">
      <c r="A20" s="40" t="s">
        <v>44</v>
      </c>
      <c r="B20" s="9">
        <v>20000</v>
      </c>
      <c r="C20" s="64" t="s">
        <v>43</v>
      </c>
      <c r="D20" s="44" t="s">
        <v>45</v>
      </c>
      <c r="E20" s="40"/>
      <c r="F20" s="40"/>
      <c r="H20" s="51">
        <f t="shared" si="3"/>
        <v>16</v>
      </c>
      <c r="I20" s="51">
        <f t="shared" si="2"/>
        <v>1</v>
      </c>
      <c r="J20" s="51">
        <f t="shared" si="4"/>
        <v>60.5</v>
      </c>
    </row>
    <row r="21" spans="1:10">
      <c r="A21" s="40" t="s">
        <v>46</v>
      </c>
      <c r="B21" s="9">
        <v>23</v>
      </c>
      <c r="C21" s="64" t="s">
        <v>47</v>
      </c>
      <c r="D21" s="44"/>
      <c r="E21" s="40"/>
      <c r="F21" s="42"/>
      <c r="H21" s="51">
        <f t="shared" si="3"/>
        <v>17</v>
      </c>
      <c r="I21" s="51">
        <f t="shared" si="2"/>
        <v>1</v>
      </c>
      <c r="J21" s="51">
        <f t="shared" si="4"/>
        <v>59.5</v>
      </c>
    </row>
    <row r="22" spans="1:10" ht="12.75" customHeight="1">
      <c r="A22" s="40" t="s">
        <v>48</v>
      </c>
      <c r="B22" s="9">
        <v>22</v>
      </c>
      <c r="C22" s="64" t="s">
        <v>25</v>
      </c>
      <c r="D22" s="44"/>
      <c r="E22" s="40"/>
      <c r="F22" s="42"/>
      <c r="H22" s="51">
        <f t="shared" si="3"/>
        <v>18</v>
      </c>
      <c r="I22" s="51">
        <f t="shared" si="2"/>
        <v>1</v>
      </c>
      <c r="J22" s="51">
        <f t="shared" si="4"/>
        <v>58.5</v>
      </c>
    </row>
    <row r="23" spans="1:10" ht="12.75" customHeight="1">
      <c r="A23" s="45" t="s">
        <v>49</v>
      </c>
      <c r="B23" s="9">
        <v>0</v>
      </c>
      <c r="C23" s="64" t="s">
        <v>21</v>
      </c>
      <c r="D23" s="44" t="str">
        <f>'eenmanszaak met BTW-aftrek'!D22</f>
        <v>KIA op bestelauto / MIA bij bijvoorbeeld waterstof</v>
      </c>
      <c r="E23" s="40"/>
      <c r="F23" s="42"/>
      <c r="H23" s="51">
        <f t="shared" si="3"/>
        <v>19</v>
      </c>
      <c r="I23" s="51">
        <v>0.75</v>
      </c>
      <c r="J23" s="51">
        <f t="shared" si="4"/>
        <v>57.75</v>
      </c>
    </row>
    <row r="24" spans="1:10">
      <c r="A24" s="40" t="s">
        <v>50</v>
      </c>
      <c r="B24" s="12">
        <v>49.5</v>
      </c>
      <c r="C24" s="64" t="s">
        <v>25</v>
      </c>
      <c r="D24" s="44"/>
      <c r="E24" s="40"/>
      <c r="F24" s="42"/>
      <c r="H24" s="51">
        <f t="shared" si="3"/>
        <v>20</v>
      </c>
      <c r="I24" s="51">
        <f t="shared" ref="I24:I34" si="5">I23</f>
        <v>0.75</v>
      </c>
      <c r="J24" s="51">
        <f t="shared" si="4"/>
        <v>57</v>
      </c>
    </row>
    <row r="25" spans="1:10">
      <c r="A25" s="40" t="s">
        <v>51</v>
      </c>
      <c r="B25" s="11">
        <v>25.8</v>
      </c>
      <c r="C25" s="64" t="s">
        <v>25</v>
      </c>
      <c r="D25" s="44"/>
      <c r="E25" s="40"/>
      <c r="F25" s="42"/>
      <c r="H25" s="51">
        <f t="shared" si="3"/>
        <v>21</v>
      </c>
      <c r="I25" s="51">
        <f t="shared" si="5"/>
        <v>0.75</v>
      </c>
      <c r="J25" s="51">
        <f t="shared" si="4"/>
        <v>56.25</v>
      </c>
    </row>
    <row r="26" spans="1:10">
      <c r="H26" s="51">
        <f t="shared" si="3"/>
        <v>22</v>
      </c>
      <c r="I26" s="51">
        <f t="shared" si="5"/>
        <v>0.75</v>
      </c>
      <c r="J26" s="51">
        <f t="shared" si="4"/>
        <v>55.5</v>
      </c>
    </row>
    <row r="27" spans="1:10">
      <c r="A27" s="26" t="s">
        <v>52</v>
      </c>
      <c r="B27" s="27"/>
      <c r="C27" s="28"/>
      <c r="D27" s="28"/>
      <c r="E27" s="28"/>
      <c r="F27" s="27"/>
      <c r="H27" s="51">
        <f t="shared" si="3"/>
        <v>23</v>
      </c>
      <c r="I27" s="51">
        <f t="shared" si="5"/>
        <v>0.75</v>
      </c>
      <c r="J27" s="51">
        <f t="shared" si="4"/>
        <v>54.75</v>
      </c>
    </row>
    <row r="28" spans="1:10">
      <c r="A28" s="29"/>
      <c r="B28" s="30" t="s">
        <v>53</v>
      </c>
      <c r="C28" s="31"/>
      <c r="D28" s="32" t="s">
        <v>54</v>
      </c>
      <c r="E28" s="31"/>
      <c r="F28" s="30" t="s">
        <v>55</v>
      </c>
      <c r="H28" s="51">
        <f t="shared" si="3"/>
        <v>24</v>
      </c>
      <c r="I28" s="51">
        <f t="shared" si="5"/>
        <v>0.75</v>
      </c>
      <c r="J28" s="51">
        <f t="shared" si="4"/>
        <v>54</v>
      </c>
    </row>
    <row r="29" spans="1:10">
      <c r="A29" s="33" t="s">
        <v>56</v>
      </c>
      <c r="B29" s="34">
        <f>(B7-B11)/(B12/12)</f>
        <v>6247.5</v>
      </c>
      <c r="C29" s="34"/>
      <c r="D29" s="34"/>
      <c r="E29" s="34"/>
      <c r="F29" s="34"/>
      <c r="H29" s="51">
        <f t="shared" si="3"/>
        <v>25</v>
      </c>
      <c r="I29" s="51">
        <f t="shared" si="5"/>
        <v>0.75</v>
      </c>
      <c r="J29" s="51">
        <f t="shared" si="4"/>
        <v>53.25</v>
      </c>
    </row>
    <row r="30" spans="1:10">
      <c r="A30" s="33" t="s">
        <v>57</v>
      </c>
      <c r="B30" s="34">
        <f>($B$7+$B$11)/2*$B$16/100</f>
        <v>797.35500000000002</v>
      </c>
      <c r="C30" s="34"/>
      <c r="D30" s="34"/>
      <c r="E30" s="34"/>
      <c r="F30" s="34"/>
      <c r="G30" s="5" t="s">
        <v>4</v>
      </c>
      <c r="H30" s="51">
        <f t="shared" si="3"/>
        <v>26</v>
      </c>
      <c r="I30" s="51">
        <f t="shared" si="5"/>
        <v>0.75</v>
      </c>
      <c r="J30" s="51">
        <f t="shared" si="4"/>
        <v>52.5</v>
      </c>
    </row>
    <row r="31" spans="1:10">
      <c r="A31" s="33" t="s">
        <v>58</v>
      </c>
      <c r="B31" s="34">
        <f>B13+B14++B15</f>
        <v>2670</v>
      </c>
      <c r="C31" s="34"/>
      <c r="D31" s="34"/>
      <c r="E31" s="34"/>
      <c r="F31" s="34"/>
      <c r="G31" s="5" t="s">
        <v>4</v>
      </c>
      <c r="H31" s="51">
        <f t="shared" si="3"/>
        <v>27</v>
      </c>
      <c r="I31" s="51">
        <f t="shared" si="5"/>
        <v>0.75</v>
      </c>
      <c r="J31" s="51">
        <f t="shared" si="4"/>
        <v>51.75</v>
      </c>
    </row>
    <row r="32" spans="1:10">
      <c r="A32" s="33" t="s">
        <v>59</v>
      </c>
      <c r="B32" s="35">
        <f>(B19+B20)/100*B17*B18</f>
        <v>4032</v>
      </c>
      <c r="C32" s="34"/>
      <c r="D32" s="34" t="s">
        <v>4</v>
      </c>
      <c r="E32" s="34"/>
      <c r="F32" s="34"/>
      <c r="G32" s="5" t="s">
        <v>4</v>
      </c>
      <c r="H32" s="51">
        <f t="shared" si="3"/>
        <v>28</v>
      </c>
      <c r="I32" s="51">
        <f t="shared" si="5"/>
        <v>0.75</v>
      </c>
      <c r="J32" s="51">
        <f t="shared" si="4"/>
        <v>51</v>
      </c>
    </row>
    <row r="33" spans="1:10">
      <c r="A33" s="33" t="s">
        <v>60</v>
      </c>
      <c r="B33" s="34">
        <f>SUM(B29:B32)</f>
        <v>13746.855</v>
      </c>
      <c r="C33" s="34"/>
      <c r="D33" s="34"/>
      <c r="E33" s="34"/>
      <c r="F33" s="34"/>
      <c r="G33" s="5" t="s">
        <v>4</v>
      </c>
      <c r="H33" s="51">
        <f t="shared" si="3"/>
        <v>29</v>
      </c>
      <c r="I33" s="51">
        <f t="shared" si="5"/>
        <v>0.75</v>
      </c>
      <c r="J33" s="51">
        <f t="shared" si="4"/>
        <v>50.25</v>
      </c>
    </row>
    <row r="34" spans="1:10">
      <c r="A34" s="33" t="s">
        <v>61</v>
      </c>
      <c r="B34" s="34">
        <f>B20*-B21/100</f>
        <v>-4600</v>
      </c>
      <c r="C34" s="34"/>
      <c r="D34" s="34">
        <f>-B34</f>
        <v>4600</v>
      </c>
      <c r="E34" s="34"/>
      <c r="F34" s="34" t="s">
        <v>4</v>
      </c>
      <c r="G34" s="5" t="s">
        <v>4</v>
      </c>
      <c r="H34" s="51">
        <f t="shared" si="3"/>
        <v>30</v>
      </c>
      <c r="I34" s="51">
        <f t="shared" si="5"/>
        <v>0.75</v>
      </c>
      <c r="J34" s="51">
        <f t="shared" si="4"/>
        <v>49.5</v>
      </c>
    </row>
    <row r="35" spans="1:10">
      <c r="A35" s="33" t="s">
        <v>62</v>
      </c>
      <c r="B35" s="34">
        <f>B20*(B21-19)/100*B24/100</f>
        <v>396</v>
      </c>
      <c r="C35" s="34"/>
      <c r="D35" s="36">
        <f>D34*-B25/100</f>
        <v>-1186.8</v>
      </c>
      <c r="E35" s="34"/>
      <c r="F35" s="34"/>
      <c r="H35" s="51">
        <f t="shared" si="3"/>
        <v>31</v>
      </c>
      <c r="I35" s="51">
        <v>0.5</v>
      </c>
      <c r="J35" s="51">
        <f t="shared" si="4"/>
        <v>49</v>
      </c>
    </row>
    <row r="36" spans="1:10">
      <c r="A36" s="33" t="s">
        <v>63</v>
      </c>
      <c r="B36" s="34"/>
      <c r="C36" s="34"/>
      <c r="D36" s="34">
        <f>(D34+D35)*-0.31</f>
        <v>-1058.0919999999999</v>
      </c>
      <c r="E36" s="34"/>
      <c r="F36" s="34"/>
      <c r="H36" s="51">
        <f t="shared" si="3"/>
        <v>32</v>
      </c>
      <c r="I36" s="51">
        <f t="shared" ref="I36:I46" si="6">I35</f>
        <v>0.5</v>
      </c>
      <c r="J36" s="51">
        <f t="shared" si="4"/>
        <v>48.5</v>
      </c>
    </row>
    <row r="37" spans="1:10">
      <c r="A37" s="29"/>
      <c r="B37" s="34"/>
      <c r="C37" s="34"/>
      <c r="D37" s="34"/>
      <c r="E37" s="34"/>
      <c r="F37" s="34"/>
      <c r="H37" s="51">
        <f t="shared" si="3"/>
        <v>33</v>
      </c>
      <c r="I37" s="51">
        <f t="shared" si="6"/>
        <v>0.5</v>
      </c>
      <c r="J37" s="51">
        <f t="shared" si="4"/>
        <v>48</v>
      </c>
    </row>
    <row r="38" spans="1:10" ht="13.5" thickBot="1">
      <c r="A38" s="33" t="s">
        <v>64</v>
      </c>
      <c r="B38" s="37">
        <f>SUM(B33:B37)</f>
        <v>9542.8549999999996</v>
      </c>
      <c r="C38" s="34"/>
      <c r="D38" s="37">
        <f>SUM(D33:D37)</f>
        <v>2355.1080000000002</v>
      </c>
      <c r="E38" s="34"/>
      <c r="F38" s="37">
        <f>SUM(B38+D38)</f>
        <v>11897.963</v>
      </c>
      <c r="H38" s="51">
        <f t="shared" si="3"/>
        <v>34</v>
      </c>
      <c r="I38" s="51">
        <f t="shared" si="6"/>
        <v>0.5</v>
      </c>
      <c r="J38" s="51">
        <f t="shared" si="4"/>
        <v>47.5</v>
      </c>
    </row>
    <row r="39" spans="1:10" ht="13.5" thickTop="1">
      <c r="A39" s="29"/>
      <c r="B39" s="34"/>
      <c r="C39" s="34"/>
      <c r="D39" s="34"/>
      <c r="E39" s="34"/>
      <c r="F39" s="34"/>
      <c r="H39" s="51">
        <f t="shared" si="3"/>
        <v>35</v>
      </c>
      <c r="I39" s="51">
        <f t="shared" si="6"/>
        <v>0.5</v>
      </c>
      <c r="J39" s="51">
        <f t="shared" si="4"/>
        <v>47</v>
      </c>
    </row>
    <row r="40" spans="1:10" ht="13.5" thickBot="1">
      <c r="A40" s="29" t="s">
        <v>65</v>
      </c>
      <c r="B40" s="34"/>
      <c r="C40" s="34"/>
      <c r="D40" s="34"/>
      <c r="E40" s="34"/>
      <c r="F40" s="38">
        <f>F38*(B12/12)</f>
        <v>47591.851999999999</v>
      </c>
      <c r="H40" s="51">
        <f t="shared" si="3"/>
        <v>36</v>
      </c>
      <c r="I40" s="51">
        <f t="shared" si="6"/>
        <v>0.5</v>
      </c>
      <c r="J40" s="51">
        <f t="shared" si="4"/>
        <v>46.5</v>
      </c>
    </row>
    <row r="41" spans="1:10" ht="13.5" thickTop="1">
      <c r="A41" s="29"/>
      <c r="B41" s="34"/>
      <c r="C41" s="34"/>
      <c r="D41" s="34"/>
      <c r="E41" s="34"/>
      <c r="F41" s="34"/>
      <c r="H41" s="51">
        <f t="shared" si="3"/>
        <v>37</v>
      </c>
      <c r="I41" s="51">
        <f t="shared" si="6"/>
        <v>0.5</v>
      </c>
      <c r="J41" s="51">
        <f t="shared" si="4"/>
        <v>46</v>
      </c>
    </row>
    <row r="42" spans="1:10">
      <c r="A42" s="26" t="s">
        <v>66</v>
      </c>
      <c r="B42" s="27"/>
      <c r="C42" s="28"/>
      <c r="D42" s="28"/>
      <c r="E42" s="28"/>
      <c r="F42" s="27"/>
      <c r="H42" s="51">
        <f t="shared" si="3"/>
        <v>38</v>
      </c>
      <c r="I42" s="51">
        <f t="shared" si="6"/>
        <v>0.5</v>
      </c>
      <c r="J42" s="51">
        <f t="shared" si="4"/>
        <v>45.5</v>
      </c>
    </row>
    <row r="43" spans="1:10">
      <c r="A43" s="29"/>
      <c r="B43" s="30" t="s">
        <v>67</v>
      </c>
      <c r="C43" s="29"/>
      <c r="D43" s="32" t="s">
        <v>54</v>
      </c>
      <c r="E43" s="29"/>
      <c r="F43" s="30" t="s">
        <v>55</v>
      </c>
      <c r="H43" s="51">
        <f t="shared" si="3"/>
        <v>39</v>
      </c>
      <c r="I43" s="51">
        <f t="shared" si="6"/>
        <v>0.5</v>
      </c>
      <c r="J43" s="51">
        <f t="shared" si="4"/>
        <v>45</v>
      </c>
    </row>
    <row r="44" spans="1:10">
      <c r="A44" s="33" t="s">
        <v>56</v>
      </c>
      <c r="B44" s="34"/>
      <c r="C44" s="34"/>
      <c r="D44" s="34">
        <f>(((B7-B9*B10/100)*100/121+B9*B10/100)-((B11-J136)*100/121+J136))/(B12/12)</f>
        <v>5268.8299190082635</v>
      </c>
      <c r="E44" s="34"/>
      <c r="F44" s="34"/>
      <c r="H44" s="51">
        <f t="shared" si="3"/>
        <v>40</v>
      </c>
      <c r="I44" s="51">
        <f t="shared" si="6"/>
        <v>0.5</v>
      </c>
      <c r="J44" s="51">
        <f t="shared" si="4"/>
        <v>44.5</v>
      </c>
    </row>
    <row r="45" spans="1:10">
      <c r="A45" s="33" t="s">
        <v>57</v>
      </c>
      <c r="B45" s="34"/>
      <c r="C45" s="34"/>
      <c r="D45" s="34">
        <f>(((($B$7-$B$9*$B$10/100)*100/121+$B$9*$B$10/100))+$B$11)/2*$B$16/100</f>
        <v>707.0971735537189</v>
      </c>
      <c r="E45" s="34"/>
      <c r="F45" s="34"/>
      <c r="H45" s="51">
        <f t="shared" si="3"/>
        <v>41</v>
      </c>
      <c r="I45" s="51">
        <f t="shared" si="6"/>
        <v>0.5</v>
      </c>
      <c r="J45" s="51">
        <f t="shared" si="4"/>
        <v>44</v>
      </c>
    </row>
    <row r="46" spans="1:10">
      <c r="A46" s="33" t="str">
        <f>A31</f>
        <v>Verzekering/MRB/onderhoud</v>
      </c>
      <c r="B46" s="34"/>
      <c r="C46" s="34"/>
      <c r="D46" s="34">
        <f>B13*100/121+B14+B15</f>
        <v>2531.1570247933887</v>
      </c>
      <c r="E46" s="34"/>
      <c r="F46" s="34" t="s">
        <v>4</v>
      </c>
      <c r="H46" s="51">
        <f t="shared" si="3"/>
        <v>42</v>
      </c>
      <c r="I46" s="51">
        <f t="shared" si="6"/>
        <v>0.5</v>
      </c>
      <c r="J46" s="51">
        <f t="shared" si="4"/>
        <v>43.5</v>
      </c>
    </row>
    <row r="47" spans="1:10">
      <c r="A47" s="33" t="str">
        <f>A32</f>
        <v>Brandstof</v>
      </c>
      <c r="B47" s="34"/>
      <c r="C47" s="34"/>
      <c r="D47" s="34">
        <f>B32*100/121</f>
        <v>3332.2314049586776</v>
      </c>
      <c r="E47" s="34"/>
      <c r="F47" s="34"/>
      <c r="H47" s="51">
        <f t="shared" si="3"/>
        <v>43</v>
      </c>
      <c r="I47" s="51">
        <v>0.42</v>
      </c>
      <c r="J47" s="51">
        <f t="shared" si="4"/>
        <v>43.08</v>
      </c>
    </row>
    <row r="48" spans="1:10">
      <c r="A48" s="33" t="s">
        <v>68</v>
      </c>
      <c r="B48" s="34"/>
      <c r="C48" s="34"/>
      <c r="D48" s="34">
        <f>0.027*B8</f>
        <v>1079.73</v>
      </c>
      <c r="E48" s="34"/>
      <c r="F48" s="34"/>
      <c r="H48" s="51">
        <f t="shared" si="3"/>
        <v>44</v>
      </c>
      <c r="I48" s="51">
        <v>0.42</v>
      </c>
      <c r="J48" s="51">
        <f t="shared" si="4"/>
        <v>42.66</v>
      </c>
    </row>
    <row r="49" spans="1:10">
      <c r="A49" s="29" t="str">
        <f>A35</f>
        <v xml:space="preserve">Inkomsten-/Vennootschapsbelasting </v>
      </c>
      <c r="B49" s="34"/>
      <c r="C49" s="34"/>
      <c r="D49" s="34">
        <f>(SUM(D44:D48)+B23)*-B25/100</f>
        <v>-3333.1137447570245</v>
      </c>
      <c r="E49" s="34" t="s">
        <v>4</v>
      </c>
      <c r="F49" s="34" t="s">
        <v>4</v>
      </c>
      <c r="G49" s="4" t="s">
        <v>4</v>
      </c>
      <c r="H49" s="51">
        <f t="shared" si="3"/>
        <v>45</v>
      </c>
      <c r="I49" s="51">
        <v>0.42</v>
      </c>
      <c r="J49" s="51">
        <f t="shared" si="4"/>
        <v>42.239999999999995</v>
      </c>
    </row>
    <row r="50" spans="1:10">
      <c r="A50" s="29" t="str">
        <f>A36</f>
        <v>Inkomstenbelasting box 2</v>
      </c>
      <c r="B50" s="34"/>
      <c r="C50" s="29"/>
      <c r="D50" s="34">
        <f>SUM(D44:D49)*-0.31</f>
        <v>-2971.6388510426773</v>
      </c>
      <c r="E50" s="29"/>
      <c r="F50" s="34" t="s">
        <v>4</v>
      </c>
      <c r="G50" s="5" t="s">
        <v>4</v>
      </c>
      <c r="H50" s="51">
        <f t="shared" si="3"/>
        <v>46</v>
      </c>
      <c r="I50" s="51">
        <v>0.42</v>
      </c>
      <c r="J50" s="51">
        <f t="shared" si="4"/>
        <v>41.819999999999993</v>
      </c>
    </row>
    <row r="51" spans="1:10">
      <c r="A51" s="33" t="s">
        <v>69</v>
      </c>
      <c r="B51" s="34">
        <f>IF(B19&gt;500,B8*B22/100*B24/100,0)</f>
        <v>4354.9110000000001</v>
      </c>
      <c r="C51" s="34"/>
      <c r="D51" s="34"/>
      <c r="E51" s="34"/>
      <c r="F51" s="34" t="s">
        <v>4</v>
      </c>
      <c r="H51" s="51">
        <f t="shared" si="3"/>
        <v>47</v>
      </c>
      <c r="I51" s="51">
        <v>0.42</v>
      </c>
      <c r="J51" s="51">
        <f t="shared" si="4"/>
        <v>41.399999999999991</v>
      </c>
    </row>
    <row r="52" spans="1:10" ht="13.5" thickBot="1">
      <c r="A52" s="33" t="s">
        <v>70</v>
      </c>
      <c r="B52" s="37">
        <f>SUM(B44:B51)</f>
        <v>4354.9110000000001</v>
      </c>
      <c r="C52" s="34"/>
      <c r="D52" s="37">
        <f>SUM(D44:D51)</f>
        <v>6614.2929265143466</v>
      </c>
      <c r="E52" s="34"/>
      <c r="F52" s="37">
        <f>SUM(B52+D52)</f>
        <v>10969.203926514347</v>
      </c>
      <c r="G52" s="5" t="s">
        <v>71</v>
      </c>
      <c r="H52" s="51">
        <f t="shared" ref="H52:H67" si="7">H51+1</f>
        <v>48</v>
      </c>
      <c r="I52" s="51">
        <v>0.42</v>
      </c>
      <c r="J52" s="51">
        <f t="shared" ref="J52:J67" si="8">J51-I52</f>
        <v>40.97999999999999</v>
      </c>
    </row>
    <row r="53" spans="1:10" ht="13.5" thickTop="1">
      <c r="A53" s="29"/>
      <c r="B53" s="34"/>
      <c r="C53" s="34"/>
      <c r="D53" s="34"/>
      <c r="E53" s="34"/>
      <c r="F53" s="34"/>
      <c r="H53" s="51">
        <f t="shared" si="7"/>
        <v>49</v>
      </c>
      <c r="I53" s="51">
        <v>0.42</v>
      </c>
      <c r="J53" s="51">
        <f t="shared" si="8"/>
        <v>40.559999999999988</v>
      </c>
    </row>
    <row r="54" spans="1:10" ht="13.5" thickBot="1">
      <c r="A54" s="29" t="s">
        <v>72</v>
      </c>
      <c r="B54" s="34" t="s">
        <v>4</v>
      </c>
      <c r="C54" s="29"/>
      <c r="D54" s="29"/>
      <c r="E54" s="29"/>
      <c r="F54" s="38">
        <f>F52+(F52+B23*B25/100+(B23*B25/100)*-0.2625)*((B12-12)/12)</f>
        <v>43876.815706057387</v>
      </c>
      <c r="G54" s="5" t="s">
        <v>4</v>
      </c>
      <c r="H54" s="51">
        <f t="shared" si="7"/>
        <v>50</v>
      </c>
      <c r="I54" s="51">
        <v>0.42</v>
      </c>
      <c r="J54" s="51">
        <f t="shared" si="8"/>
        <v>40.139999999999986</v>
      </c>
    </row>
    <row r="55" spans="1:10" ht="13.5" thickTop="1">
      <c r="F55" s="4" t="s">
        <v>4</v>
      </c>
      <c r="G55" s="5" t="s">
        <v>4</v>
      </c>
      <c r="H55" s="51">
        <f t="shared" si="7"/>
        <v>51</v>
      </c>
      <c r="I55" s="51">
        <v>0.42</v>
      </c>
      <c r="J55" s="51">
        <f t="shared" si="8"/>
        <v>39.719999999999985</v>
      </c>
    </row>
    <row r="56" spans="1:10">
      <c r="F56" s="5"/>
      <c r="G56" s="5" t="s">
        <v>4</v>
      </c>
      <c r="H56" s="51">
        <f t="shared" si="7"/>
        <v>52</v>
      </c>
      <c r="I56" s="51">
        <v>0.42</v>
      </c>
      <c r="J56" s="51">
        <f t="shared" si="8"/>
        <v>39.299999999999983</v>
      </c>
    </row>
    <row r="57" spans="1:10">
      <c r="A57" s="23" t="s">
        <v>73</v>
      </c>
      <c r="B57" s="24"/>
      <c r="C57" s="25"/>
      <c r="D57" s="8" t="str">
        <f>IF((F54-F40)&gt;0,"in privé","in de B.V.")</f>
        <v>in de B.V.</v>
      </c>
      <c r="F57" s="5"/>
      <c r="H57" s="51">
        <f t="shared" si="7"/>
        <v>53</v>
      </c>
      <c r="I57" s="51">
        <v>0.42</v>
      </c>
      <c r="J57" s="51">
        <f t="shared" si="8"/>
        <v>38.879999999999981</v>
      </c>
    </row>
    <row r="58" spans="1:10">
      <c r="F58" s="5"/>
      <c r="H58" s="51">
        <f t="shared" si="7"/>
        <v>54</v>
      </c>
      <c r="I58" s="51">
        <v>0.42</v>
      </c>
      <c r="J58" s="51">
        <f t="shared" si="8"/>
        <v>38.45999999999998</v>
      </c>
    </row>
    <row r="59" spans="1:10">
      <c r="F59" s="5"/>
      <c r="H59" s="51">
        <f t="shared" si="7"/>
        <v>55</v>
      </c>
      <c r="I59" s="51">
        <v>0.42</v>
      </c>
      <c r="J59" s="51">
        <f t="shared" si="8"/>
        <v>38.039999999999978</v>
      </c>
    </row>
    <row r="60" spans="1:10">
      <c r="A60" s="22" t="s">
        <v>74</v>
      </c>
      <c r="F60" s="5"/>
      <c r="H60" s="51">
        <f t="shared" si="7"/>
        <v>56</v>
      </c>
      <c r="I60" s="51">
        <v>0.42</v>
      </c>
      <c r="J60" s="51">
        <f t="shared" si="8"/>
        <v>37.619999999999976</v>
      </c>
    </row>
    <row r="61" spans="1:10">
      <c r="A61" s="22" t="s">
        <v>75</v>
      </c>
      <c r="F61" s="5"/>
      <c r="H61" s="51">
        <f t="shared" si="7"/>
        <v>57</v>
      </c>
      <c r="I61" s="51">
        <v>0.42</v>
      </c>
      <c r="J61" s="51">
        <f t="shared" si="8"/>
        <v>37.199999999999974</v>
      </c>
    </row>
    <row r="62" spans="1:10">
      <c r="A62" s="22" t="s">
        <v>76</v>
      </c>
      <c r="F62" s="5"/>
      <c r="H62" s="51">
        <f t="shared" si="7"/>
        <v>58</v>
      </c>
      <c r="I62" s="51">
        <v>0.42</v>
      </c>
      <c r="J62" s="51">
        <f t="shared" si="8"/>
        <v>36.779999999999973</v>
      </c>
    </row>
    <row r="63" spans="1:10">
      <c r="A63" s="22" t="s">
        <v>4</v>
      </c>
      <c r="F63" s="5"/>
      <c r="H63" s="51">
        <f t="shared" si="7"/>
        <v>59</v>
      </c>
      <c r="I63" s="51">
        <v>0.42</v>
      </c>
      <c r="J63" s="51">
        <f t="shared" si="8"/>
        <v>36.359999999999971</v>
      </c>
    </row>
    <row r="64" spans="1:10">
      <c r="A64" s="22" t="s">
        <v>77</v>
      </c>
      <c r="F64" s="5"/>
      <c r="H64" s="51">
        <f t="shared" si="7"/>
        <v>60</v>
      </c>
      <c r="I64" s="51">
        <v>0.42</v>
      </c>
      <c r="J64" s="51">
        <f t="shared" si="8"/>
        <v>35.939999999999969</v>
      </c>
    </row>
    <row r="65" spans="1:10">
      <c r="A65" s="22" t="s">
        <v>78</v>
      </c>
      <c r="F65" s="5"/>
      <c r="H65" s="51">
        <f t="shared" si="7"/>
        <v>61</v>
      </c>
      <c r="I65" s="51">
        <v>0.42</v>
      </c>
      <c r="J65" s="51">
        <f t="shared" si="8"/>
        <v>35.519999999999968</v>
      </c>
    </row>
    <row r="66" spans="1:10">
      <c r="A66" s="22"/>
      <c r="F66" s="5"/>
      <c r="H66" s="51">
        <f t="shared" si="7"/>
        <v>62</v>
      </c>
      <c r="I66" s="51">
        <v>0.42</v>
      </c>
      <c r="J66" s="51">
        <f t="shared" si="8"/>
        <v>35.099999999999966</v>
      </c>
    </row>
    <row r="67" spans="1:10">
      <c r="A67" s="22" t="s">
        <v>79</v>
      </c>
      <c r="F67" s="5"/>
      <c r="H67" s="51">
        <f t="shared" si="7"/>
        <v>63</v>
      </c>
      <c r="I67" s="51">
        <v>0.42</v>
      </c>
      <c r="J67" s="51">
        <f t="shared" si="8"/>
        <v>34.679999999999964</v>
      </c>
    </row>
    <row r="68" spans="1:10">
      <c r="A68" s="22" t="s">
        <v>80</v>
      </c>
      <c r="F68" s="5"/>
      <c r="H68" s="51">
        <f>H67+1</f>
        <v>64</v>
      </c>
      <c r="I68" s="51">
        <v>0.42</v>
      </c>
      <c r="J68" s="51">
        <f>J67-I68</f>
        <v>34.259999999999962</v>
      </c>
    </row>
    <row r="69" spans="1:10">
      <c r="A69" s="22" t="s">
        <v>81</v>
      </c>
      <c r="F69" s="5"/>
      <c r="H69" s="51">
        <f>H68+1</f>
        <v>65</v>
      </c>
      <c r="I69" s="51">
        <v>0.42</v>
      </c>
      <c r="J69" s="51">
        <f>J68-I69</f>
        <v>33.839999999999961</v>
      </c>
    </row>
    <row r="70" spans="1:10">
      <c r="F70" s="5"/>
      <c r="H70" s="51">
        <f>H69+1</f>
        <v>66</v>
      </c>
      <c r="I70" s="51">
        <v>0.42</v>
      </c>
      <c r="J70" s="51">
        <f>J69-I70</f>
        <v>33.419999999999959</v>
      </c>
    </row>
    <row r="71" spans="1:10">
      <c r="F71" s="5"/>
      <c r="H71" s="51">
        <f t="shared" ref="H71:H80" si="9">H70+1</f>
        <v>67</v>
      </c>
      <c r="I71" s="51">
        <v>0.42</v>
      </c>
      <c r="J71" s="51">
        <f t="shared" ref="J71:J80" si="10">J70-I71</f>
        <v>32.999999999999957</v>
      </c>
    </row>
    <row r="72" spans="1:10">
      <c r="F72" s="5"/>
      <c r="H72" s="51">
        <f t="shared" si="9"/>
        <v>68</v>
      </c>
      <c r="I72" s="51">
        <v>0.42</v>
      </c>
      <c r="J72" s="51">
        <f t="shared" si="10"/>
        <v>32.579999999999956</v>
      </c>
    </row>
    <row r="73" spans="1:10">
      <c r="F73" s="5"/>
      <c r="H73" s="51">
        <f t="shared" si="9"/>
        <v>69</v>
      </c>
      <c r="I73" s="51">
        <v>0.42</v>
      </c>
      <c r="J73" s="51">
        <f t="shared" si="10"/>
        <v>32.159999999999954</v>
      </c>
    </row>
    <row r="74" spans="1:10">
      <c r="F74" s="5"/>
      <c r="H74" s="51">
        <f t="shared" si="9"/>
        <v>70</v>
      </c>
      <c r="I74" s="51">
        <v>0.42</v>
      </c>
      <c r="J74" s="51">
        <f t="shared" si="10"/>
        <v>31.739999999999952</v>
      </c>
    </row>
    <row r="75" spans="1:10">
      <c r="F75" s="5"/>
      <c r="H75" s="51">
        <f t="shared" si="9"/>
        <v>71</v>
      </c>
      <c r="I75" s="51">
        <v>0.42</v>
      </c>
      <c r="J75" s="51">
        <f t="shared" si="10"/>
        <v>31.319999999999951</v>
      </c>
    </row>
    <row r="76" spans="1:10">
      <c r="F76" s="5"/>
      <c r="H76" s="51">
        <f t="shared" si="9"/>
        <v>72</v>
      </c>
      <c r="I76" s="51">
        <v>0.42</v>
      </c>
      <c r="J76" s="51">
        <f t="shared" si="10"/>
        <v>30.899999999999949</v>
      </c>
    </row>
    <row r="77" spans="1:10">
      <c r="F77" s="5"/>
      <c r="H77" s="51">
        <f t="shared" si="9"/>
        <v>73</v>
      </c>
      <c r="I77" s="51">
        <v>0.42</v>
      </c>
      <c r="J77" s="51">
        <f t="shared" si="10"/>
        <v>30.479999999999947</v>
      </c>
    </row>
    <row r="78" spans="1:10">
      <c r="F78" s="5"/>
      <c r="H78" s="51">
        <f t="shared" si="9"/>
        <v>74</v>
      </c>
      <c r="I78" s="51">
        <v>0.42</v>
      </c>
      <c r="J78" s="51">
        <f t="shared" si="10"/>
        <v>30.059999999999945</v>
      </c>
    </row>
    <row r="79" spans="1:10">
      <c r="F79" s="5"/>
      <c r="H79" s="51">
        <f t="shared" si="9"/>
        <v>75</v>
      </c>
      <c r="I79" s="51">
        <v>0.42</v>
      </c>
      <c r="J79" s="51">
        <f t="shared" si="10"/>
        <v>29.639999999999944</v>
      </c>
    </row>
    <row r="80" spans="1:10">
      <c r="F80" s="5"/>
      <c r="H80" s="51">
        <f t="shared" si="9"/>
        <v>76</v>
      </c>
      <c r="I80" s="51">
        <v>0.42</v>
      </c>
      <c r="J80" s="51">
        <f t="shared" si="10"/>
        <v>29.219999999999942</v>
      </c>
    </row>
    <row r="81" spans="6:10">
      <c r="F81" s="5"/>
      <c r="H81" s="51">
        <f t="shared" ref="H81:H116" si="11">H80+1</f>
        <v>77</v>
      </c>
      <c r="I81" s="51">
        <v>0.42</v>
      </c>
      <c r="J81" s="51">
        <f>J80-I81</f>
        <v>28.79999999999994</v>
      </c>
    </row>
    <row r="82" spans="6:10">
      <c r="F82" s="5"/>
      <c r="H82" s="51">
        <f t="shared" si="11"/>
        <v>78</v>
      </c>
      <c r="I82" s="51">
        <v>0.25</v>
      </c>
      <c r="J82" s="51">
        <f>J81-I82</f>
        <v>28.54999999999994</v>
      </c>
    </row>
    <row r="83" spans="6:10">
      <c r="F83" s="5"/>
      <c r="H83" s="51">
        <f t="shared" si="11"/>
        <v>79</v>
      </c>
      <c r="I83" s="51">
        <v>0.25</v>
      </c>
      <c r="J83" s="51">
        <f>J82-I83</f>
        <v>28.29999999999994</v>
      </c>
    </row>
    <row r="84" spans="6:10">
      <c r="F84" s="5"/>
      <c r="H84" s="51">
        <f t="shared" si="11"/>
        <v>80</v>
      </c>
      <c r="I84" s="51">
        <v>0.25</v>
      </c>
      <c r="J84" s="51">
        <f>J83-I84</f>
        <v>28.04999999999994</v>
      </c>
    </row>
    <row r="85" spans="6:10">
      <c r="F85" s="5"/>
      <c r="H85" s="51">
        <f t="shared" si="11"/>
        <v>81</v>
      </c>
      <c r="I85" s="51">
        <v>0.25</v>
      </c>
      <c r="J85" s="51">
        <f t="shared" ref="J85:J102" si="12">J84-I85</f>
        <v>27.79999999999994</v>
      </c>
    </row>
    <row r="86" spans="6:10">
      <c r="F86" s="5"/>
      <c r="H86" s="51">
        <f t="shared" si="11"/>
        <v>82</v>
      </c>
      <c r="I86" s="51">
        <v>0.25</v>
      </c>
      <c r="J86" s="51">
        <f t="shared" si="12"/>
        <v>27.54999999999994</v>
      </c>
    </row>
    <row r="87" spans="6:10">
      <c r="F87" s="5"/>
      <c r="H87" s="51">
        <f t="shared" si="11"/>
        <v>83</v>
      </c>
      <c r="I87" s="51">
        <v>0.25</v>
      </c>
      <c r="J87" s="51">
        <f t="shared" si="12"/>
        <v>27.29999999999994</v>
      </c>
    </row>
    <row r="88" spans="6:10">
      <c r="F88" s="5"/>
      <c r="H88" s="51">
        <f t="shared" si="11"/>
        <v>84</v>
      </c>
      <c r="I88" s="51">
        <v>0.25</v>
      </c>
      <c r="J88" s="51">
        <f t="shared" si="12"/>
        <v>27.04999999999994</v>
      </c>
    </row>
    <row r="89" spans="6:10">
      <c r="F89" s="5"/>
      <c r="H89" s="51">
        <f t="shared" si="11"/>
        <v>85</v>
      </c>
      <c r="I89" s="51">
        <v>0.25</v>
      </c>
      <c r="J89" s="51">
        <f t="shared" si="12"/>
        <v>26.79999999999994</v>
      </c>
    </row>
    <row r="90" spans="6:10">
      <c r="F90" s="5"/>
      <c r="H90" s="51">
        <f t="shared" si="11"/>
        <v>86</v>
      </c>
      <c r="I90" s="51">
        <v>0.25</v>
      </c>
      <c r="J90" s="51">
        <f t="shared" si="12"/>
        <v>26.54999999999994</v>
      </c>
    </row>
    <row r="91" spans="6:10">
      <c r="F91" s="5"/>
      <c r="H91" s="51">
        <f t="shared" si="11"/>
        <v>87</v>
      </c>
      <c r="I91" s="51">
        <v>0.25</v>
      </c>
      <c r="J91" s="51">
        <f t="shared" si="12"/>
        <v>26.29999999999994</v>
      </c>
    </row>
    <row r="92" spans="6:10">
      <c r="F92" s="5"/>
      <c r="H92" s="51">
        <f t="shared" si="11"/>
        <v>88</v>
      </c>
      <c r="I92" s="51">
        <v>0.25</v>
      </c>
      <c r="J92" s="51">
        <f t="shared" si="12"/>
        <v>26.04999999999994</v>
      </c>
    </row>
    <row r="93" spans="6:10">
      <c r="F93" s="5"/>
      <c r="H93" s="51">
        <f t="shared" si="11"/>
        <v>89</v>
      </c>
      <c r="I93" s="51">
        <v>0.25</v>
      </c>
      <c r="J93" s="51">
        <f t="shared" si="12"/>
        <v>25.79999999999994</v>
      </c>
    </row>
    <row r="94" spans="6:10">
      <c r="F94" s="5"/>
      <c r="H94" s="51">
        <f t="shared" si="11"/>
        <v>90</v>
      </c>
      <c r="I94" s="51">
        <v>0.25</v>
      </c>
      <c r="J94" s="51">
        <f t="shared" si="12"/>
        <v>25.54999999999994</v>
      </c>
    </row>
    <row r="95" spans="6:10">
      <c r="F95" s="5"/>
      <c r="H95" s="51">
        <f t="shared" si="11"/>
        <v>91</v>
      </c>
      <c r="I95" s="51">
        <v>0.25</v>
      </c>
      <c r="J95" s="51">
        <f t="shared" si="12"/>
        <v>25.29999999999994</v>
      </c>
    </row>
    <row r="96" spans="6:10">
      <c r="F96" s="5"/>
      <c r="H96" s="51">
        <f t="shared" si="11"/>
        <v>92</v>
      </c>
      <c r="I96" s="51">
        <v>0.25</v>
      </c>
      <c r="J96" s="51">
        <f t="shared" si="12"/>
        <v>25.04999999999994</v>
      </c>
    </row>
    <row r="97" spans="6:10">
      <c r="F97" s="5"/>
      <c r="H97" s="51">
        <f t="shared" si="11"/>
        <v>93</v>
      </c>
      <c r="I97" s="51">
        <v>0.25</v>
      </c>
      <c r="J97" s="51">
        <f t="shared" si="12"/>
        <v>24.79999999999994</v>
      </c>
    </row>
    <row r="98" spans="6:10">
      <c r="F98" s="5"/>
      <c r="H98" s="51">
        <f t="shared" si="11"/>
        <v>94</v>
      </c>
      <c r="I98" s="51">
        <v>0.25</v>
      </c>
      <c r="J98" s="51">
        <f t="shared" si="12"/>
        <v>24.54999999999994</v>
      </c>
    </row>
    <row r="99" spans="6:10">
      <c r="F99" s="5"/>
      <c r="H99" s="51">
        <f t="shared" si="11"/>
        <v>95</v>
      </c>
      <c r="I99" s="51">
        <v>0.25</v>
      </c>
      <c r="J99" s="51">
        <f t="shared" si="12"/>
        <v>24.29999999999994</v>
      </c>
    </row>
    <row r="100" spans="6:10">
      <c r="F100" s="5"/>
      <c r="H100" s="51">
        <f t="shared" si="11"/>
        <v>96</v>
      </c>
      <c r="I100" s="51">
        <v>0.25</v>
      </c>
      <c r="J100" s="51">
        <f t="shared" si="12"/>
        <v>24.04999999999994</v>
      </c>
    </row>
    <row r="101" spans="6:10">
      <c r="F101" s="5"/>
      <c r="H101" s="51">
        <f t="shared" si="11"/>
        <v>97</v>
      </c>
      <c r="I101" s="51">
        <v>0.25</v>
      </c>
      <c r="J101" s="51">
        <f t="shared" si="12"/>
        <v>23.79999999999994</v>
      </c>
    </row>
    <row r="102" spans="6:10">
      <c r="F102" s="5"/>
      <c r="H102" s="51">
        <f t="shared" si="11"/>
        <v>98</v>
      </c>
      <c r="I102" s="51">
        <v>0.25</v>
      </c>
      <c r="J102" s="51">
        <f t="shared" si="12"/>
        <v>23.54999999999994</v>
      </c>
    </row>
    <row r="103" spans="6:10">
      <c r="F103" s="5"/>
      <c r="H103" s="51">
        <f t="shared" si="11"/>
        <v>99</v>
      </c>
      <c r="I103" s="51">
        <v>0.25</v>
      </c>
      <c r="J103" s="51">
        <f t="shared" ref="J103:J132" si="13">J102-I103</f>
        <v>23.29999999999994</v>
      </c>
    </row>
    <row r="104" spans="6:10">
      <c r="F104" s="5"/>
      <c r="H104" s="51">
        <f t="shared" si="11"/>
        <v>100</v>
      </c>
      <c r="I104" s="51">
        <v>0.25</v>
      </c>
      <c r="J104" s="51">
        <f t="shared" si="13"/>
        <v>23.04999999999994</v>
      </c>
    </row>
    <row r="105" spans="6:10">
      <c r="F105" s="5"/>
      <c r="H105" s="51">
        <f t="shared" si="11"/>
        <v>101</v>
      </c>
      <c r="I105" s="51">
        <v>0.25</v>
      </c>
      <c r="J105" s="51">
        <f t="shared" si="13"/>
        <v>22.79999999999994</v>
      </c>
    </row>
    <row r="106" spans="6:10">
      <c r="F106" s="5"/>
      <c r="H106" s="51">
        <f t="shared" si="11"/>
        <v>102</v>
      </c>
      <c r="I106" s="51">
        <v>0.25</v>
      </c>
      <c r="J106" s="51">
        <f t="shared" si="13"/>
        <v>22.54999999999994</v>
      </c>
    </row>
    <row r="107" spans="6:10">
      <c r="F107" s="5"/>
      <c r="H107" s="51">
        <f t="shared" si="11"/>
        <v>103</v>
      </c>
      <c r="I107" s="51">
        <v>0.25</v>
      </c>
      <c r="J107" s="51">
        <f t="shared" si="13"/>
        <v>22.29999999999994</v>
      </c>
    </row>
    <row r="108" spans="6:10">
      <c r="F108" s="5"/>
      <c r="H108" s="51">
        <f t="shared" si="11"/>
        <v>104</v>
      </c>
      <c r="I108" s="51">
        <v>0.25</v>
      </c>
      <c r="J108" s="51">
        <f t="shared" si="13"/>
        <v>22.04999999999994</v>
      </c>
    </row>
    <row r="109" spans="6:10">
      <c r="F109" s="5"/>
      <c r="H109" s="51">
        <f t="shared" si="11"/>
        <v>105</v>
      </c>
      <c r="I109" s="51">
        <v>0.25</v>
      </c>
      <c r="J109" s="51">
        <f t="shared" si="13"/>
        <v>21.79999999999994</v>
      </c>
    </row>
    <row r="110" spans="6:10">
      <c r="F110" s="5"/>
      <c r="H110" s="51">
        <f t="shared" si="11"/>
        <v>106</v>
      </c>
      <c r="I110" s="51">
        <v>0.25</v>
      </c>
      <c r="J110" s="51">
        <f t="shared" si="13"/>
        <v>21.54999999999994</v>
      </c>
    </row>
    <row r="111" spans="6:10">
      <c r="F111" s="5"/>
      <c r="H111" s="51">
        <f t="shared" si="11"/>
        <v>107</v>
      </c>
      <c r="I111" s="51">
        <v>0.25</v>
      </c>
      <c r="J111" s="51">
        <f t="shared" si="13"/>
        <v>21.29999999999994</v>
      </c>
    </row>
    <row r="112" spans="6:10">
      <c r="F112" s="5"/>
      <c r="H112" s="51">
        <f t="shared" si="11"/>
        <v>108</v>
      </c>
      <c r="I112" s="51">
        <v>0.25</v>
      </c>
      <c r="J112" s="51">
        <f t="shared" si="13"/>
        <v>21.04999999999994</v>
      </c>
    </row>
    <row r="113" spans="6:10">
      <c r="F113" s="5"/>
      <c r="H113" s="51">
        <f t="shared" si="11"/>
        <v>109</v>
      </c>
      <c r="I113" s="51">
        <v>0.25</v>
      </c>
      <c r="J113" s="51">
        <f t="shared" si="13"/>
        <v>20.79999999999994</v>
      </c>
    </row>
    <row r="114" spans="6:10">
      <c r="F114" s="5"/>
      <c r="H114" s="51">
        <f t="shared" si="11"/>
        <v>110</v>
      </c>
      <c r="I114" s="51">
        <v>0.25</v>
      </c>
      <c r="J114" s="51">
        <f t="shared" si="13"/>
        <v>20.54999999999994</v>
      </c>
    </row>
    <row r="115" spans="6:10">
      <c r="F115" s="5"/>
      <c r="H115" s="51">
        <f t="shared" si="11"/>
        <v>111</v>
      </c>
      <c r="I115" s="51">
        <v>0.25</v>
      </c>
      <c r="J115" s="51">
        <f t="shared" si="13"/>
        <v>20.29999999999994</v>
      </c>
    </row>
    <row r="116" spans="6:10">
      <c r="F116" s="5"/>
      <c r="H116" s="51">
        <f t="shared" si="11"/>
        <v>112</v>
      </c>
      <c r="I116" s="51">
        <v>0.25</v>
      </c>
      <c r="J116" s="51">
        <f t="shared" si="13"/>
        <v>20.04999999999994</v>
      </c>
    </row>
    <row r="117" spans="6:10">
      <c r="F117" s="5"/>
      <c r="H117" s="51">
        <f t="shared" ref="H117:H132" si="14">H116+1</f>
        <v>113</v>
      </c>
      <c r="I117" s="51">
        <v>0.25</v>
      </c>
      <c r="J117" s="51">
        <f t="shared" si="13"/>
        <v>19.79999999999994</v>
      </c>
    </row>
    <row r="118" spans="6:10">
      <c r="F118" s="5"/>
      <c r="H118" s="51">
        <f t="shared" si="14"/>
        <v>114</v>
      </c>
      <c r="I118" s="51">
        <v>0.25</v>
      </c>
      <c r="J118" s="51">
        <f t="shared" si="13"/>
        <v>19.54999999999994</v>
      </c>
    </row>
    <row r="119" spans="6:10">
      <c r="F119" s="5"/>
      <c r="H119" s="51">
        <f t="shared" si="14"/>
        <v>115</v>
      </c>
      <c r="I119" s="51">
        <v>0.19</v>
      </c>
      <c r="J119" s="51">
        <f t="shared" si="13"/>
        <v>19.359999999999939</v>
      </c>
    </row>
    <row r="120" spans="6:10">
      <c r="F120" s="5"/>
      <c r="H120" s="51">
        <f t="shared" si="14"/>
        <v>116</v>
      </c>
      <c r="I120" s="51">
        <v>0.19</v>
      </c>
      <c r="J120" s="51">
        <f t="shared" si="13"/>
        <v>19.169999999999938</v>
      </c>
    </row>
    <row r="121" spans="6:10">
      <c r="F121" s="5"/>
      <c r="H121" s="51">
        <f t="shared" si="14"/>
        <v>117</v>
      </c>
      <c r="I121" s="51">
        <v>0.19</v>
      </c>
      <c r="J121" s="51">
        <f t="shared" si="13"/>
        <v>18.979999999999936</v>
      </c>
    </row>
    <row r="122" spans="6:10">
      <c r="F122" s="5"/>
      <c r="H122" s="51">
        <f t="shared" si="14"/>
        <v>118</v>
      </c>
      <c r="I122" s="51">
        <v>0.19</v>
      </c>
      <c r="J122" s="51">
        <f t="shared" si="13"/>
        <v>18.789999999999935</v>
      </c>
    </row>
    <row r="123" spans="6:10">
      <c r="F123" s="5"/>
      <c r="H123" s="51">
        <f t="shared" si="14"/>
        <v>119</v>
      </c>
      <c r="I123" s="51">
        <v>0.19</v>
      </c>
      <c r="J123" s="51">
        <f t="shared" si="13"/>
        <v>18.599999999999934</v>
      </c>
    </row>
    <row r="124" spans="6:10">
      <c r="F124" s="5"/>
      <c r="H124" s="51">
        <f t="shared" si="14"/>
        <v>120</v>
      </c>
      <c r="I124" s="51">
        <v>0.19</v>
      </c>
      <c r="J124" s="51">
        <f t="shared" si="13"/>
        <v>18.409999999999933</v>
      </c>
    </row>
    <row r="125" spans="6:10">
      <c r="F125" s="5"/>
      <c r="H125" s="51">
        <f t="shared" si="14"/>
        <v>121</v>
      </c>
      <c r="I125" s="51">
        <v>0.19</v>
      </c>
      <c r="J125" s="51">
        <f t="shared" si="13"/>
        <v>18.219999999999931</v>
      </c>
    </row>
    <row r="126" spans="6:10">
      <c r="F126" s="5"/>
      <c r="H126" s="51">
        <f t="shared" si="14"/>
        <v>122</v>
      </c>
      <c r="I126" s="51">
        <v>0.19</v>
      </c>
      <c r="J126" s="51">
        <f t="shared" si="13"/>
        <v>18.02999999999993</v>
      </c>
    </row>
    <row r="127" spans="6:10">
      <c r="F127" s="5"/>
      <c r="H127" s="51">
        <f t="shared" si="14"/>
        <v>123</v>
      </c>
      <c r="I127" s="51">
        <v>0.19</v>
      </c>
      <c r="J127" s="51">
        <f t="shared" si="13"/>
        <v>17.839999999999929</v>
      </c>
    </row>
    <row r="128" spans="6:10">
      <c r="F128" s="5"/>
      <c r="H128" s="51">
        <f t="shared" si="14"/>
        <v>124</v>
      </c>
      <c r="I128" s="51">
        <v>0.19</v>
      </c>
      <c r="J128" s="51">
        <f t="shared" si="13"/>
        <v>17.649999999999928</v>
      </c>
    </row>
    <row r="129" spans="6:10">
      <c r="F129" s="5"/>
      <c r="H129" s="51">
        <f t="shared" si="14"/>
        <v>125</v>
      </c>
      <c r="I129" s="51">
        <v>0.19</v>
      </c>
      <c r="J129" s="51">
        <f t="shared" si="13"/>
        <v>17.459999999999926</v>
      </c>
    </row>
    <row r="130" spans="6:10">
      <c r="F130" s="5"/>
      <c r="H130" s="51">
        <f t="shared" si="14"/>
        <v>126</v>
      </c>
      <c r="I130" s="51">
        <v>0.19</v>
      </c>
      <c r="J130" s="51">
        <f t="shared" si="13"/>
        <v>17.269999999999925</v>
      </c>
    </row>
    <row r="131" spans="6:10">
      <c r="F131" s="5"/>
      <c r="H131" s="51">
        <f t="shared" si="14"/>
        <v>127</v>
      </c>
      <c r="I131" s="51">
        <v>0.19</v>
      </c>
      <c r="J131" s="51">
        <f t="shared" si="13"/>
        <v>17.079999999999924</v>
      </c>
    </row>
    <row r="132" spans="6:10">
      <c r="F132" s="5"/>
      <c r="H132" s="51">
        <f t="shared" si="14"/>
        <v>128</v>
      </c>
      <c r="I132" s="51">
        <v>0.19</v>
      </c>
      <c r="J132" s="51">
        <f t="shared" si="13"/>
        <v>16.889999999999922</v>
      </c>
    </row>
    <row r="133" spans="6:10">
      <c r="F133" s="5"/>
      <c r="H133" s="51">
        <f>H132+1</f>
        <v>129</v>
      </c>
      <c r="I133" s="51">
        <v>0.19</v>
      </c>
      <c r="J133" s="51">
        <f>J132-I133</f>
        <v>16.699999999999921</v>
      </c>
    </row>
    <row r="134" spans="6:10">
      <c r="F134" s="5"/>
      <c r="H134" s="51" t="s">
        <v>82</v>
      </c>
      <c r="I134" s="51"/>
      <c r="J134" s="51"/>
    </row>
    <row r="135" spans="6:10">
      <c r="F135" s="5"/>
      <c r="H135" s="51"/>
      <c r="I135" s="51"/>
      <c r="J135" s="51"/>
    </row>
    <row r="136" spans="6:10">
      <c r="F136" s="5"/>
      <c r="H136" s="51" t="s">
        <v>83</v>
      </c>
      <c r="I136" s="51"/>
      <c r="J136" s="54">
        <f>VLOOKUP(B12,H5:J133,3,0)/100*B9</f>
        <v>1690.0151999999996</v>
      </c>
    </row>
    <row r="137" spans="6:10">
      <c r="F137" s="5"/>
      <c r="J137" s="5" t="s">
        <v>4</v>
      </c>
    </row>
    <row r="138" spans="6:10">
      <c r="F138" s="5"/>
      <c r="J138" s="5"/>
    </row>
    <row r="139" spans="6:10">
      <c r="F139" s="5"/>
      <c r="J139" s="5"/>
    </row>
    <row r="140" spans="6:10">
      <c r="F140" s="5"/>
      <c r="J140" s="5"/>
    </row>
    <row r="141" spans="6:10">
      <c r="F141" s="5"/>
      <c r="J141" s="5"/>
    </row>
    <row r="142" spans="6:10">
      <c r="F142" s="5"/>
      <c r="J142" s="5"/>
    </row>
    <row r="143" spans="6:10">
      <c r="F143" s="5"/>
      <c r="J143" s="5"/>
    </row>
    <row r="144" spans="6:10">
      <c r="F144" s="5"/>
      <c r="J144" s="5"/>
    </row>
    <row r="145" spans="6:10">
      <c r="F145" s="5"/>
      <c r="J145" s="5"/>
    </row>
    <row r="146" spans="6:10">
      <c r="F146" s="5"/>
      <c r="J146" s="5"/>
    </row>
    <row r="147" spans="6:10">
      <c r="F147" s="5"/>
      <c r="J147" s="5"/>
    </row>
    <row r="148" spans="6:10">
      <c r="F148" s="5"/>
      <c r="J148" s="5"/>
    </row>
    <row r="149" spans="6:10">
      <c r="F149" s="5"/>
      <c r="J149" s="5"/>
    </row>
    <row r="150" spans="6:10">
      <c r="F150" s="5"/>
      <c r="J150" s="5"/>
    </row>
    <row r="151" spans="6:10">
      <c r="F151" s="5"/>
      <c r="J151" s="5"/>
    </row>
    <row r="152" spans="6:10">
      <c r="F152" s="5"/>
      <c r="J152" s="5"/>
    </row>
    <row r="153" spans="6:10">
      <c r="F153" s="5"/>
      <c r="J153" s="5"/>
    </row>
    <row r="154" spans="6:10">
      <c r="F154" s="5"/>
      <c r="J154" s="5"/>
    </row>
    <row r="155" spans="6:10">
      <c r="F155" s="5"/>
      <c r="J155" s="5"/>
    </row>
    <row r="156" spans="6:10">
      <c r="F156" s="5"/>
      <c r="J156" s="5"/>
    </row>
    <row r="157" spans="6:10">
      <c r="F157" s="5"/>
      <c r="J157" s="5"/>
    </row>
    <row r="158" spans="6:10">
      <c r="F158" s="5"/>
      <c r="J158" s="5"/>
    </row>
    <row r="159" spans="6:10">
      <c r="F159" s="5"/>
      <c r="J159" s="5"/>
    </row>
    <row r="160" spans="6:10">
      <c r="F160" s="5"/>
      <c r="J160" s="5"/>
    </row>
    <row r="161" spans="6:10">
      <c r="F161" s="5"/>
      <c r="J161" s="5"/>
    </row>
    <row r="162" spans="6:10">
      <c r="F162" s="5"/>
      <c r="J162" s="5"/>
    </row>
    <row r="163" spans="6:10">
      <c r="F163" s="5"/>
      <c r="J163" s="5"/>
    </row>
    <row r="164" spans="6:10">
      <c r="F164" s="5"/>
      <c r="J164" s="5"/>
    </row>
    <row r="165" spans="6:10">
      <c r="F165" s="5"/>
      <c r="J165" s="5"/>
    </row>
    <row r="166" spans="6:10">
      <c r="F166" s="5"/>
      <c r="J166" s="5"/>
    </row>
    <row r="167" spans="6:10">
      <c r="F167" s="5"/>
      <c r="J167" s="5"/>
    </row>
    <row r="168" spans="6:10">
      <c r="F168" s="5"/>
      <c r="J168" s="5"/>
    </row>
    <row r="169" spans="6:10">
      <c r="J169" s="5"/>
    </row>
    <row r="170" spans="6:10">
      <c r="J170" s="5"/>
    </row>
    <row r="171" spans="6:10">
      <c r="J171" s="5"/>
    </row>
    <row r="172" spans="6:10">
      <c r="J172" s="5"/>
    </row>
    <row r="173" spans="6:10">
      <c r="J173" s="5"/>
    </row>
    <row r="174" spans="6:10">
      <c r="J174" s="5"/>
    </row>
    <row r="175" spans="6:10">
      <c r="J175" s="5"/>
    </row>
    <row r="176" spans="6:10">
      <c r="J176" s="5"/>
    </row>
    <row r="177" spans="10:10">
      <c r="J177" s="5"/>
    </row>
    <row r="178" spans="10:10">
      <c r="J178" s="5"/>
    </row>
    <row r="179" spans="10:10">
      <c r="J179" s="5"/>
    </row>
    <row r="180" spans="10:10">
      <c r="J180" s="5"/>
    </row>
    <row r="181" spans="10:10">
      <c r="J181" s="5"/>
    </row>
    <row r="182" spans="10:10">
      <c r="J182" s="5"/>
    </row>
    <row r="183" spans="10:10">
      <c r="J183" s="5"/>
    </row>
    <row r="184" spans="10:10">
      <c r="J184" s="5"/>
    </row>
    <row r="185" spans="10:10">
      <c r="J185" s="5"/>
    </row>
    <row r="186" spans="10:10">
      <c r="J186" s="5"/>
    </row>
    <row r="187" spans="10:10">
      <c r="J187" s="5"/>
    </row>
    <row r="188" spans="10:10">
      <c r="J188" s="5"/>
    </row>
    <row r="189" spans="10:10">
      <c r="J189" s="5"/>
    </row>
    <row r="190" spans="10:10">
      <c r="J190" s="5"/>
    </row>
    <row r="191" spans="10:10">
      <c r="J191" s="5"/>
    </row>
    <row r="192" spans="10:10">
      <c r="J192" s="5"/>
    </row>
    <row r="193" spans="10:10">
      <c r="J193" s="5"/>
    </row>
    <row r="194" spans="10:10">
      <c r="J194" s="5"/>
    </row>
    <row r="195" spans="10:10">
      <c r="J195" s="5"/>
    </row>
    <row r="196" spans="10:10">
      <c r="J196" s="5"/>
    </row>
    <row r="197" spans="10:10">
      <c r="J197" s="5"/>
    </row>
    <row r="198" spans="10:10">
      <c r="J198" s="5"/>
    </row>
  </sheetData>
  <phoneticPr fontId="0" type="noConversion"/>
  <hyperlinks>
    <hyperlink ref="A23" location="'DGA, geen BTW-aftrek in prive'!P1" display="Investeringsaftrek" xr:uid="{00000000-0004-0000-0000-000000000000}"/>
  </hyperlinks>
  <pageMargins left="0.75" right="0.75" top="1" bottom="1" header="0.5" footer="0.5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97"/>
  <sheetViews>
    <sheetView showGridLines="0" zoomScale="120" zoomScaleNormal="120" workbookViewId="0">
      <selection activeCell="D6" sqref="D6:D24"/>
    </sheetView>
  </sheetViews>
  <sheetFormatPr defaultColWidth="9.77734375" defaultRowHeight="12.75"/>
  <cols>
    <col min="1" max="1" width="32.109375" style="1" customWidth="1"/>
    <col min="2" max="2" width="10.77734375" style="3" customWidth="1"/>
    <col min="3" max="3" width="5.77734375" style="1" customWidth="1"/>
    <col min="4" max="4" width="12.21875" style="1" customWidth="1"/>
    <col min="5" max="5" width="5.77734375" style="1" customWidth="1"/>
    <col min="6" max="6" width="15.6640625" style="3" customWidth="1"/>
    <col min="7" max="7" width="9.77734375" style="1"/>
    <col min="8" max="9" width="10.77734375" style="1" customWidth="1"/>
    <col min="10" max="10" width="10.77734375" style="2" customWidth="1"/>
    <col min="11" max="14" width="10.77734375" style="1" customWidth="1"/>
    <col min="15" max="15" width="32.88671875" style="1" bestFit="1" customWidth="1"/>
    <col min="16" max="17" width="9.77734375" style="1"/>
    <col min="18" max="18" width="4.6640625" style="1" customWidth="1"/>
    <col min="19" max="16384" width="9.77734375" style="1"/>
  </cols>
  <sheetData>
    <row r="1" spans="1:16" s="5" customFormat="1" ht="54" customHeight="1">
      <c r="B1" s="4"/>
      <c r="F1" s="4"/>
      <c r="J1" s="15"/>
    </row>
    <row r="2" spans="1:16" s="13" customFormat="1" ht="23.25">
      <c r="A2" s="16" t="s">
        <v>84</v>
      </c>
      <c r="B2" s="17"/>
      <c r="C2" s="18"/>
      <c r="D2" s="18"/>
      <c r="E2" s="18"/>
      <c r="F2" s="62" t="s">
        <v>1</v>
      </c>
      <c r="G2" s="18"/>
      <c r="H2" s="47" t="s">
        <v>2</v>
      </c>
      <c r="I2" s="48"/>
      <c r="J2" s="49"/>
      <c r="K2" s="18"/>
      <c r="L2" s="47" t="s">
        <v>3</v>
      </c>
      <c r="M2" s="48"/>
      <c r="N2" s="48"/>
      <c r="O2" s="48"/>
      <c r="P2" s="18"/>
    </row>
    <row r="3" spans="1:16">
      <c r="A3" s="19"/>
      <c r="B3" s="4"/>
      <c r="C3" s="5"/>
      <c r="D3" s="5"/>
      <c r="E3" s="5"/>
      <c r="F3" s="4"/>
      <c r="G3" s="5"/>
      <c r="H3" s="50" t="s">
        <v>4</v>
      </c>
      <c r="I3" s="51" t="s">
        <v>4</v>
      </c>
      <c r="J3" s="52"/>
      <c r="K3" s="5"/>
      <c r="L3" s="51"/>
      <c r="M3" s="51"/>
      <c r="N3" s="51"/>
      <c r="O3" s="51"/>
      <c r="P3" s="5"/>
    </row>
    <row r="4" spans="1:16">
      <c r="A4" s="19" t="s">
        <v>85</v>
      </c>
      <c r="B4" s="4"/>
      <c r="C4" s="5"/>
      <c r="D4" s="5"/>
      <c r="E4" s="5"/>
      <c r="F4" s="4"/>
      <c r="G4" s="5"/>
      <c r="H4" s="50" t="s">
        <v>6</v>
      </c>
      <c r="I4" s="50" t="s">
        <v>7</v>
      </c>
      <c r="J4" s="53" t="s">
        <v>8</v>
      </c>
      <c r="K4" s="5"/>
      <c r="L4" s="55" t="s">
        <v>9</v>
      </c>
      <c r="M4" s="55" t="s">
        <v>10</v>
      </c>
      <c r="N4" s="55"/>
      <c r="O4" s="56" t="s">
        <v>11</v>
      </c>
      <c r="P4" s="5"/>
    </row>
    <row r="5" spans="1:16">
      <c r="A5" s="5" t="s">
        <v>4</v>
      </c>
      <c r="B5" s="4"/>
      <c r="C5" s="5"/>
      <c r="D5" s="5"/>
      <c r="E5" s="5"/>
      <c r="F5" s="4"/>
      <c r="G5" s="5"/>
      <c r="H5" s="51">
        <v>1</v>
      </c>
      <c r="I5" s="51">
        <v>12</v>
      </c>
      <c r="J5" s="51">
        <f>100-I5</f>
        <v>88</v>
      </c>
      <c r="K5" s="5"/>
      <c r="L5" s="55" t="s">
        <v>12</v>
      </c>
      <c r="M5" s="55" t="s">
        <v>12</v>
      </c>
      <c r="N5" s="55"/>
      <c r="O5" s="56"/>
      <c r="P5" s="5"/>
    </row>
    <row r="6" spans="1:16">
      <c r="A6" s="41" t="s">
        <v>13</v>
      </c>
      <c r="B6" s="14" t="s">
        <v>115</v>
      </c>
      <c r="C6" s="10"/>
      <c r="D6" s="41" t="s">
        <v>14</v>
      </c>
      <c r="E6" s="5"/>
      <c r="F6" s="4"/>
      <c r="G6" s="5"/>
      <c r="H6" s="51">
        <f t="shared" ref="H6:H37" si="0">H5+1</f>
        <v>2</v>
      </c>
      <c r="I6" s="51">
        <v>4</v>
      </c>
      <c r="J6" s="51">
        <f t="shared" ref="J6:J37" si="1">J5-I6</f>
        <v>84</v>
      </c>
      <c r="K6" s="5"/>
      <c r="L6" s="57">
        <f>'DGA, geen BTW-aftrek in prive'!L6</f>
        <v>0</v>
      </c>
      <c r="M6" s="57">
        <v>2900</v>
      </c>
      <c r="N6" s="57" t="s">
        <v>4</v>
      </c>
      <c r="O6" s="67">
        <f>'DGA, geen BTW-aftrek in prive'!O6</f>
        <v>0</v>
      </c>
      <c r="P6" s="5"/>
    </row>
    <row r="7" spans="1:16">
      <c r="A7" s="43" t="s">
        <v>15</v>
      </c>
      <c r="B7" s="9">
        <v>39150</v>
      </c>
      <c r="C7" s="64" t="s">
        <v>16</v>
      </c>
      <c r="D7" s="44" t="s">
        <v>17</v>
      </c>
      <c r="E7" s="5"/>
      <c r="F7" s="4" t="s">
        <v>4</v>
      </c>
      <c r="G7" s="5"/>
      <c r="H7" s="51">
        <f t="shared" si="0"/>
        <v>3</v>
      </c>
      <c r="I7" s="51">
        <v>4</v>
      </c>
      <c r="J7" s="51">
        <f t="shared" si="1"/>
        <v>80</v>
      </c>
      <c r="K7" s="5"/>
      <c r="L7" s="57">
        <v>2900</v>
      </c>
      <c r="M7" s="57">
        <v>70602</v>
      </c>
      <c r="N7" s="57" t="s">
        <v>4</v>
      </c>
      <c r="O7" s="67" t="str">
        <f>'DGA, geen BTW-aftrek in prive'!O7</f>
        <v>28% x investeringstotaal van dit jaar</v>
      </c>
      <c r="P7" s="5"/>
    </row>
    <row r="8" spans="1:16">
      <c r="A8" s="40" t="s">
        <v>19</v>
      </c>
      <c r="B8" s="9">
        <v>38135</v>
      </c>
      <c r="C8" s="64" t="s">
        <v>16</v>
      </c>
      <c r="D8" s="44" t="str">
        <f>D7</f>
        <v>inclusief BTW en BPM</v>
      </c>
      <c r="E8" s="5"/>
      <c r="F8" s="4" t="s">
        <v>4</v>
      </c>
      <c r="G8" s="5"/>
      <c r="H8" s="51">
        <f t="shared" si="0"/>
        <v>4</v>
      </c>
      <c r="I8" s="51">
        <v>3.5</v>
      </c>
      <c r="J8" s="51">
        <f t="shared" si="1"/>
        <v>76.5</v>
      </c>
      <c r="K8" s="5"/>
      <c r="L8" s="57">
        <v>70602</v>
      </c>
      <c r="M8" s="57">
        <v>130744</v>
      </c>
      <c r="N8" s="57" t="s">
        <v>4</v>
      </c>
      <c r="O8" s="68">
        <v>19769</v>
      </c>
      <c r="P8" s="5"/>
    </row>
    <row r="9" spans="1:16">
      <c r="A9" s="40" t="s">
        <v>20</v>
      </c>
      <c r="B9" s="9">
        <v>5121</v>
      </c>
      <c r="C9" s="64" t="s">
        <v>21</v>
      </c>
      <c r="D9" s="44" t="s">
        <v>22</v>
      </c>
      <c r="E9" s="5"/>
      <c r="F9" s="4" t="s">
        <v>4</v>
      </c>
      <c r="G9" s="5"/>
      <c r="H9" s="51">
        <f t="shared" si="0"/>
        <v>5</v>
      </c>
      <c r="I9" s="51">
        <v>3.5</v>
      </c>
      <c r="J9" s="51">
        <f t="shared" si="1"/>
        <v>73</v>
      </c>
      <c r="K9" s="5"/>
      <c r="L9" s="57">
        <v>130744</v>
      </c>
      <c r="M9" s="57">
        <v>392230</v>
      </c>
      <c r="N9" s="57" t="s">
        <v>4</v>
      </c>
      <c r="O9" s="67" t="s">
        <v>86</v>
      </c>
      <c r="P9" s="5"/>
    </row>
    <row r="10" spans="1:16">
      <c r="A10" s="40" t="s">
        <v>24</v>
      </c>
      <c r="B10" s="10">
        <v>100</v>
      </c>
      <c r="C10" s="64" t="s">
        <v>25</v>
      </c>
      <c r="D10" s="44" t="s">
        <v>26</v>
      </c>
      <c r="E10" s="5"/>
      <c r="F10" s="5" t="s">
        <v>4</v>
      </c>
      <c r="G10" s="5"/>
      <c r="H10" s="51">
        <f t="shared" si="0"/>
        <v>6</v>
      </c>
      <c r="I10" s="51">
        <v>1.5</v>
      </c>
      <c r="J10" s="51">
        <f t="shared" si="1"/>
        <v>71.5</v>
      </c>
      <c r="K10" s="5"/>
      <c r="L10" s="57">
        <v>392230</v>
      </c>
      <c r="M10" s="57">
        <f>'DGA, geen BTW-aftrek in prive'!M10</f>
        <v>0</v>
      </c>
      <c r="N10" s="57" t="s">
        <v>4</v>
      </c>
      <c r="O10" s="67">
        <f>'DGA, geen BTW-aftrek in prive'!O10</f>
        <v>0</v>
      </c>
      <c r="P10" s="5"/>
    </row>
    <row r="11" spans="1:16">
      <c r="A11" s="40" t="s">
        <v>27</v>
      </c>
      <c r="B11" s="9">
        <v>15000</v>
      </c>
      <c r="C11" s="64" t="s">
        <v>21</v>
      </c>
      <c r="D11" s="44" t="s">
        <v>17</v>
      </c>
      <c r="E11" s="5"/>
      <c r="F11" s="5"/>
      <c r="G11" s="5"/>
      <c r="H11" s="51">
        <f t="shared" si="0"/>
        <v>7</v>
      </c>
      <c r="I11" s="51">
        <v>1.5</v>
      </c>
      <c r="J11" s="51">
        <f t="shared" si="1"/>
        <v>70</v>
      </c>
      <c r="K11" s="5"/>
      <c r="L11" s="51"/>
      <c r="M11" s="51"/>
      <c r="N11" s="51" t="s">
        <v>4</v>
      </c>
      <c r="O11" s="51"/>
      <c r="P11" s="5"/>
    </row>
    <row r="12" spans="1:16">
      <c r="A12" s="40" t="s">
        <v>29</v>
      </c>
      <c r="B12" s="9">
        <v>60</v>
      </c>
      <c r="C12" s="64" t="s">
        <v>30</v>
      </c>
      <c r="D12" s="44"/>
      <c r="E12" s="5"/>
      <c r="F12" s="5"/>
      <c r="G12" s="5"/>
      <c r="H12" s="51">
        <f t="shared" si="0"/>
        <v>8</v>
      </c>
      <c r="I12" s="51">
        <v>1.5</v>
      </c>
      <c r="J12" s="51">
        <f t="shared" si="1"/>
        <v>68.5</v>
      </c>
      <c r="K12" s="5"/>
      <c r="L12" s="56" t="str">
        <f>'DGA, geen BTW-aftrek in prive'!L12</f>
        <v>Milieu-investeringsaftrek, voorbeelden:</v>
      </c>
      <c r="M12" s="51"/>
      <c r="N12" s="51"/>
      <c r="O12" s="51"/>
      <c r="P12" s="5"/>
    </row>
    <row r="13" spans="1:16" ht="25.5">
      <c r="A13" s="40" t="s">
        <v>32</v>
      </c>
      <c r="B13" s="9">
        <v>700</v>
      </c>
      <c r="C13" s="64" t="s">
        <v>16</v>
      </c>
      <c r="D13" s="44" t="s">
        <v>33</v>
      </c>
      <c r="E13" s="5"/>
      <c r="F13" s="5"/>
      <c r="G13" s="5"/>
      <c r="H13" s="51">
        <f t="shared" si="0"/>
        <v>9</v>
      </c>
      <c r="I13" s="51">
        <v>1</v>
      </c>
      <c r="J13" s="51">
        <f t="shared" si="1"/>
        <v>67.5</v>
      </c>
      <c r="K13" s="5"/>
      <c r="L13" s="66" t="s">
        <v>87</v>
      </c>
      <c r="M13" s="51"/>
      <c r="N13" s="51"/>
      <c r="O13" s="51"/>
      <c r="P13" s="5"/>
    </row>
    <row r="14" spans="1:16">
      <c r="A14" s="40" t="s">
        <v>34</v>
      </c>
      <c r="B14" s="9">
        <v>500</v>
      </c>
      <c r="C14" s="64" t="s">
        <v>16</v>
      </c>
      <c r="D14" s="44" t="s">
        <v>35</v>
      </c>
      <c r="E14" s="5"/>
      <c r="F14" s="5"/>
      <c r="G14" s="5"/>
      <c r="H14" s="51">
        <f t="shared" si="0"/>
        <v>10</v>
      </c>
      <c r="I14" s="51">
        <v>1</v>
      </c>
      <c r="J14" s="51">
        <f t="shared" si="1"/>
        <v>66.5</v>
      </c>
      <c r="K14" s="5"/>
      <c r="L14" s="5"/>
      <c r="M14" s="5"/>
      <c r="N14" s="5"/>
      <c r="O14" s="5"/>
      <c r="P14" s="5"/>
    </row>
    <row r="15" spans="1:16">
      <c r="A15" s="40" t="s">
        <v>36</v>
      </c>
      <c r="B15" s="9">
        <v>1150</v>
      </c>
      <c r="C15" s="64" t="s">
        <v>16</v>
      </c>
      <c r="D15" s="44"/>
      <c r="E15" s="5"/>
      <c r="F15" s="5"/>
      <c r="G15" s="5"/>
      <c r="H15" s="51">
        <f t="shared" si="0"/>
        <v>11</v>
      </c>
      <c r="I15" s="51">
        <f t="shared" ref="I15:I22" si="2">I14</f>
        <v>1</v>
      </c>
      <c r="J15" s="51">
        <f t="shared" si="1"/>
        <v>65.5</v>
      </c>
      <c r="K15" s="5"/>
      <c r="L15" s="5"/>
      <c r="M15" s="5"/>
      <c r="N15" s="5"/>
      <c r="O15" s="5"/>
      <c r="P15" s="5"/>
    </row>
    <row r="16" spans="1:16">
      <c r="A16" s="40" t="s">
        <v>88</v>
      </c>
      <c r="B16" s="9">
        <v>4</v>
      </c>
      <c r="C16" s="64" t="s">
        <v>25</v>
      </c>
      <c r="D16" s="44"/>
      <c r="E16" s="5"/>
      <c r="F16" s="5"/>
      <c r="G16" s="5"/>
      <c r="H16" s="51">
        <f t="shared" si="0"/>
        <v>12</v>
      </c>
      <c r="I16" s="51">
        <f t="shared" si="2"/>
        <v>1</v>
      </c>
      <c r="J16" s="51">
        <f t="shared" si="1"/>
        <v>64.5</v>
      </c>
      <c r="K16" s="5"/>
      <c r="L16" s="5"/>
      <c r="M16" s="5"/>
      <c r="N16" s="5"/>
      <c r="O16" s="5"/>
      <c r="P16" s="5"/>
    </row>
    <row r="17" spans="1:16">
      <c r="A17" s="40" t="s">
        <v>38</v>
      </c>
      <c r="B17" s="11">
        <v>5.3</v>
      </c>
      <c r="C17" s="64" t="s">
        <v>39</v>
      </c>
      <c r="D17" s="44"/>
      <c r="E17" s="5"/>
      <c r="F17" s="5"/>
      <c r="G17" s="5"/>
      <c r="H17" s="51">
        <f t="shared" si="0"/>
        <v>13</v>
      </c>
      <c r="I17" s="51">
        <f t="shared" si="2"/>
        <v>1</v>
      </c>
      <c r="J17" s="51">
        <f t="shared" si="1"/>
        <v>63.5</v>
      </c>
      <c r="K17" s="5"/>
      <c r="L17" s="7" t="s">
        <v>4</v>
      </c>
      <c r="M17" s="5"/>
      <c r="N17" s="5"/>
      <c r="O17" s="5" t="s">
        <v>4</v>
      </c>
      <c r="P17" s="5"/>
    </row>
    <row r="18" spans="1:16">
      <c r="A18" s="40" t="s">
        <v>40</v>
      </c>
      <c r="B18" s="12">
        <v>1.92</v>
      </c>
      <c r="C18" s="64" t="s">
        <v>21</v>
      </c>
      <c r="D18" s="44" t="s">
        <v>41</v>
      </c>
      <c r="E18" s="5"/>
      <c r="F18" s="5"/>
      <c r="G18" s="5"/>
      <c r="H18" s="51">
        <f t="shared" si="0"/>
        <v>14</v>
      </c>
      <c r="I18" s="51">
        <f t="shared" si="2"/>
        <v>1</v>
      </c>
      <c r="J18" s="51">
        <f t="shared" si="1"/>
        <v>62.5</v>
      </c>
      <c r="K18" s="5"/>
      <c r="L18" s="5"/>
      <c r="M18" s="5"/>
      <c r="N18" s="5"/>
      <c r="O18" s="5" t="s">
        <v>4</v>
      </c>
      <c r="P18" s="5" t="s">
        <v>4</v>
      </c>
    </row>
    <row r="19" spans="1:16">
      <c r="A19" s="40" t="s">
        <v>42</v>
      </c>
      <c r="B19" s="9">
        <v>7000</v>
      </c>
      <c r="C19" s="64" t="s">
        <v>43</v>
      </c>
      <c r="D19" s="44"/>
      <c r="E19" s="5"/>
      <c r="F19" s="5"/>
      <c r="G19" s="5"/>
      <c r="H19" s="51">
        <f t="shared" si="0"/>
        <v>15</v>
      </c>
      <c r="I19" s="51">
        <f t="shared" si="2"/>
        <v>1</v>
      </c>
      <c r="J19" s="51">
        <f t="shared" si="1"/>
        <v>61.5</v>
      </c>
      <c r="K19" s="5"/>
      <c r="L19" s="5"/>
      <c r="M19" s="5"/>
      <c r="N19" s="5"/>
      <c r="O19" s="5"/>
      <c r="P19" s="5"/>
    </row>
    <row r="20" spans="1:16">
      <c r="A20" s="40" t="s">
        <v>44</v>
      </c>
      <c r="B20" s="9">
        <v>23000</v>
      </c>
      <c r="C20" s="64" t="s">
        <v>43</v>
      </c>
      <c r="D20" s="44" t="s">
        <v>45</v>
      </c>
      <c r="E20" s="5"/>
      <c r="F20" s="5"/>
      <c r="G20" s="5"/>
      <c r="H20" s="51">
        <f t="shared" si="0"/>
        <v>16</v>
      </c>
      <c r="I20" s="51">
        <f t="shared" si="2"/>
        <v>1</v>
      </c>
      <c r="J20" s="51">
        <f t="shared" si="1"/>
        <v>60.5</v>
      </c>
      <c r="K20" s="5"/>
      <c r="L20" s="5"/>
      <c r="M20" s="5"/>
      <c r="N20" s="5"/>
      <c r="O20" s="5"/>
      <c r="P20" s="5"/>
    </row>
    <row r="21" spans="1:16">
      <c r="A21" s="40" t="s">
        <v>48</v>
      </c>
      <c r="B21" s="9">
        <v>22</v>
      </c>
      <c r="C21" s="64" t="s">
        <v>25</v>
      </c>
      <c r="D21" s="44"/>
      <c r="E21" s="5"/>
      <c r="F21" s="5"/>
      <c r="G21" s="5"/>
      <c r="H21" s="51">
        <f t="shared" si="0"/>
        <v>17</v>
      </c>
      <c r="I21" s="51">
        <f t="shared" si="2"/>
        <v>1</v>
      </c>
      <c r="J21" s="51">
        <f t="shared" si="1"/>
        <v>59.5</v>
      </c>
      <c r="K21" s="5"/>
      <c r="L21" s="5"/>
      <c r="M21" s="5"/>
      <c r="N21" s="5"/>
      <c r="O21" s="5"/>
      <c r="P21" s="5"/>
    </row>
    <row r="22" spans="1:16" ht="18.75">
      <c r="A22" s="45" t="s">
        <v>89</v>
      </c>
      <c r="B22" s="9">
        <v>0</v>
      </c>
      <c r="C22" s="64" t="s">
        <v>16</v>
      </c>
      <c r="D22" s="72" t="s">
        <v>90</v>
      </c>
      <c r="E22" s="5"/>
      <c r="F22" s="5"/>
      <c r="G22" s="5"/>
      <c r="H22" s="51">
        <f t="shared" si="0"/>
        <v>18</v>
      </c>
      <c r="I22" s="51">
        <f t="shared" si="2"/>
        <v>1</v>
      </c>
      <c r="J22" s="51">
        <f t="shared" si="1"/>
        <v>58.5</v>
      </c>
      <c r="K22" s="5"/>
      <c r="L22" s="5"/>
      <c r="M22" s="5"/>
      <c r="N22" s="5"/>
      <c r="O22" s="5"/>
      <c r="P22" s="5"/>
    </row>
    <row r="23" spans="1:16">
      <c r="A23" s="40" t="s">
        <v>46</v>
      </c>
      <c r="B23" s="9">
        <v>23</v>
      </c>
      <c r="C23" s="64" t="s">
        <v>47</v>
      </c>
      <c r="D23" s="44"/>
      <c r="E23" s="5"/>
      <c r="F23" s="4"/>
      <c r="G23" s="5"/>
      <c r="H23" s="51">
        <f t="shared" si="0"/>
        <v>19</v>
      </c>
      <c r="I23" s="51">
        <v>0.75</v>
      </c>
      <c r="J23" s="51">
        <f t="shared" si="1"/>
        <v>57.75</v>
      </c>
      <c r="K23" s="5"/>
      <c r="L23" s="5"/>
      <c r="M23" s="5"/>
      <c r="N23" s="5"/>
      <c r="O23" s="5"/>
      <c r="P23" s="5"/>
    </row>
    <row r="24" spans="1:16">
      <c r="A24" s="40" t="s">
        <v>91</v>
      </c>
      <c r="B24" s="12">
        <v>49.5</v>
      </c>
      <c r="C24" s="64" t="s">
        <v>25</v>
      </c>
      <c r="D24" s="44" t="s">
        <v>92</v>
      </c>
      <c r="E24" s="5"/>
      <c r="F24" s="4"/>
      <c r="G24" s="5"/>
      <c r="H24" s="51">
        <f t="shared" si="0"/>
        <v>20</v>
      </c>
      <c r="I24" s="51">
        <f t="shared" ref="I24:I34" si="3">I23</f>
        <v>0.75</v>
      </c>
      <c r="J24" s="51">
        <f t="shared" si="1"/>
        <v>57</v>
      </c>
      <c r="K24" s="5"/>
      <c r="L24" s="5"/>
      <c r="M24" s="5"/>
      <c r="N24" s="5"/>
      <c r="O24" s="5"/>
      <c r="P24" s="5"/>
    </row>
    <row r="25" spans="1:16">
      <c r="A25" s="5" t="s">
        <v>4</v>
      </c>
      <c r="B25" s="6" t="s">
        <v>4</v>
      </c>
      <c r="C25" s="5" t="s">
        <v>4</v>
      </c>
      <c r="D25" s="5"/>
      <c r="E25" s="5"/>
      <c r="F25" s="4"/>
      <c r="G25" s="5"/>
      <c r="H25" s="51">
        <f t="shared" si="0"/>
        <v>21</v>
      </c>
      <c r="I25" s="51">
        <f t="shared" si="3"/>
        <v>0.75</v>
      </c>
      <c r="J25" s="51">
        <f t="shared" si="1"/>
        <v>56.25</v>
      </c>
      <c r="K25" s="5"/>
      <c r="L25" s="5"/>
      <c r="M25" s="5"/>
      <c r="N25" s="5"/>
      <c r="O25" s="5"/>
      <c r="P25" s="5"/>
    </row>
    <row r="26" spans="1:16">
      <c r="A26" s="5"/>
      <c r="B26" s="4"/>
      <c r="C26" s="5"/>
      <c r="D26" s="5"/>
      <c r="E26" s="5"/>
      <c r="F26" s="4"/>
      <c r="G26" s="5"/>
      <c r="H26" s="51">
        <f t="shared" si="0"/>
        <v>22</v>
      </c>
      <c r="I26" s="51">
        <f t="shared" si="3"/>
        <v>0.75</v>
      </c>
      <c r="J26" s="51">
        <f t="shared" si="1"/>
        <v>55.5</v>
      </c>
      <c r="K26" s="5"/>
      <c r="L26" s="5"/>
      <c r="M26" s="5"/>
      <c r="N26" s="5"/>
      <c r="O26" s="5"/>
      <c r="P26" s="5"/>
    </row>
    <row r="27" spans="1:16">
      <c r="A27" s="26" t="s">
        <v>93</v>
      </c>
      <c r="B27" s="27"/>
      <c r="C27" s="28"/>
      <c r="D27" s="28"/>
      <c r="E27" s="28"/>
      <c r="F27" s="27"/>
      <c r="G27" s="29"/>
      <c r="H27" s="51">
        <f t="shared" si="0"/>
        <v>23</v>
      </c>
      <c r="I27" s="51">
        <f t="shared" si="3"/>
        <v>0.75</v>
      </c>
      <c r="J27" s="51">
        <f t="shared" si="1"/>
        <v>54.75</v>
      </c>
      <c r="K27" s="5"/>
      <c r="L27" s="5"/>
      <c r="M27" s="5"/>
      <c r="N27" s="5"/>
      <c r="O27" s="5"/>
      <c r="P27" s="5"/>
    </row>
    <row r="28" spans="1:16">
      <c r="A28" s="29"/>
      <c r="B28" s="30" t="s">
        <v>53</v>
      </c>
      <c r="C28" s="31"/>
      <c r="D28" s="32" t="s">
        <v>94</v>
      </c>
      <c r="E28" s="31"/>
      <c r="F28" s="30" t="s">
        <v>55</v>
      </c>
      <c r="G28" s="29"/>
      <c r="H28" s="51">
        <f t="shared" si="0"/>
        <v>24</v>
      </c>
      <c r="I28" s="51">
        <f t="shared" si="3"/>
        <v>0.75</v>
      </c>
      <c r="J28" s="51">
        <f t="shared" si="1"/>
        <v>54</v>
      </c>
      <c r="K28" s="5"/>
      <c r="L28" s="5"/>
      <c r="M28" s="5"/>
      <c r="N28" s="5"/>
      <c r="O28" s="5"/>
      <c r="P28" s="5"/>
    </row>
    <row r="29" spans="1:16">
      <c r="A29" s="33" t="s">
        <v>56</v>
      </c>
      <c r="B29" s="34">
        <f>((($B$7-$B$9*$B$10/100)*100/121+$B$9*$B$10/100)-(($B$11-J136)*100/121+J136))/($B$12/12)</f>
        <v>4105.6045695867779</v>
      </c>
      <c r="C29" s="34"/>
      <c r="D29" s="34"/>
      <c r="E29" s="34"/>
      <c r="F29" s="34"/>
      <c r="G29" s="29"/>
      <c r="H29" s="51">
        <f t="shared" si="0"/>
        <v>25</v>
      </c>
      <c r="I29" s="51">
        <f t="shared" si="3"/>
        <v>0.75</v>
      </c>
      <c r="J29" s="51">
        <f t="shared" si="1"/>
        <v>53.25</v>
      </c>
      <c r="K29" s="5"/>
      <c r="L29" s="5"/>
      <c r="M29" s="5"/>
      <c r="N29" s="5"/>
      <c r="O29" s="5"/>
      <c r="P29" s="5"/>
    </row>
    <row r="30" spans="1:16">
      <c r="A30" s="33" t="s">
        <v>57</v>
      </c>
      <c r="B30" s="34">
        <f>(((($B$7-$B$9*$B$10/100)*100/121+$B$9*$B$10/100))+B11)/2*B16/100</f>
        <v>964.88280991735553</v>
      </c>
      <c r="C30" s="34"/>
      <c r="D30" s="34" t="s">
        <v>4</v>
      </c>
      <c r="E30" s="34" t="s">
        <v>4</v>
      </c>
      <c r="F30" s="34" t="s">
        <v>4</v>
      </c>
      <c r="G30" s="29"/>
      <c r="H30" s="51">
        <f t="shared" si="0"/>
        <v>26</v>
      </c>
      <c r="I30" s="51">
        <f t="shared" si="3"/>
        <v>0.75</v>
      </c>
      <c r="J30" s="51">
        <f t="shared" si="1"/>
        <v>52.5</v>
      </c>
      <c r="K30" s="5"/>
      <c r="L30" s="5"/>
      <c r="M30" s="5"/>
      <c r="N30" s="5"/>
      <c r="O30" s="5"/>
      <c r="P30" s="5"/>
    </row>
    <row r="31" spans="1:16">
      <c r="A31" s="33" t="s">
        <v>58</v>
      </c>
      <c r="B31" s="34">
        <f>D46</f>
        <v>2228.5123966942147</v>
      </c>
      <c r="C31" s="34"/>
      <c r="D31" s="34"/>
      <c r="E31" s="34"/>
      <c r="F31" s="34"/>
      <c r="G31" s="29"/>
      <c r="H31" s="51">
        <f t="shared" si="0"/>
        <v>27</v>
      </c>
      <c r="I31" s="51">
        <f t="shared" si="3"/>
        <v>0.75</v>
      </c>
      <c r="J31" s="51">
        <f t="shared" si="1"/>
        <v>51.75</v>
      </c>
      <c r="K31" s="5"/>
      <c r="L31" s="5"/>
      <c r="M31" s="5"/>
      <c r="N31" s="5"/>
      <c r="O31" s="5"/>
      <c r="P31" s="5"/>
    </row>
    <row r="32" spans="1:16">
      <c r="A32" s="33" t="s">
        <v>59</v>
      </c>
      <c r="B32" s="34">
        <f>(B19+B20)/100*B17*B18*100/121</f>
        <v>2522.9752066115702</v>
      </c>
      <c r="C32" s="34"/>
      <c r="D32" s="34" t="s">
        <v>4</v>
      </c>
      <c r="E32" s="34"/>
      <c r="F32" s="34"/>
      <c r="G32" s="29"/>
      <c r="H32" s="51">
        <f t="shared" si="0"/>
        <v>28</v>
      </c>
      <c r="I32" s="51">
        <f t="shared" si="3"/>
        <v>0.75</v>
      </c>
      <c r="J32" s="51">
        <f t="shared" si="1"/>
        <v>51</v>
      </c>
      <c r="K32" s="5"/>
      <c r="L32" s="5"/>
      <c r="M32" s="5"/>
      <c r="N32" s="5"/>
      <c r="O32" s="5"/>
      <c r="P32" s="5"/>
    </row>
    <row r="33" spans="1:16">
      <c r="A33" s="29" t="str">
        <f>A48</f>
        <v>BTW over privégebruik</v>
      </c>
      <c r="B33" s="35">
        <f>D48</f>
        <v>1029.645</v>
      </c>
      <c r="C33" s="29"/>
      <c r="D33" s="29"/>
      <c r="E33" s="34"/>
      <c r="F33" s="34"/>
      <c r="G33" s="29"/>
      <c r="H33" s="51">
        <f t="shared" si="0"/>
        <v>29</v>
      </c>
      <c r="I33" s="51">
        <f t="shared" si="3"/>
        <v>0.75</v>
      </c>
      <c r="J33" s="51">
        <f t="shared" si="1"/>
        <v>50.25</v>
      </c>
      <c r="K33" s="5"/>
      <c r="L33" s="5"/>
      <c r="M33" s="5"/>
      <c r="N33" s="5"/>
      <c r="O33" s="5"/>
      <c r="P33" s="5"/>
    </row>
    <row r="34" spans="1:16">
      <c r="A34" s="33" t="s">
        <v>60</v>
      </c>
      <c r="B34" s="34">
        <f>SUM(B29:B33)</f>
        <v>10851.619982809918</v>
      </c>
      <c r="C34" s="34"/>
      <c r="D34" s="34"/>
      <c r="E34" s="34"/>
      <c r="F34" s="34" t="s">
        <v>4</v>
      </c>
      <c r="G34" s="29"/>
      <c r="H34" s="51">
        <f t="shared" si="0"/>
        <v>30</v>
      </c>
      <c r="I34" s="51">
        <f t="shared" si="3"/>
        <v>0.75</v>
      </c>
      <c r="J34" s="51">
        <f t="shared" si="1"/>
        <v>49.5</v>
      </c>
      <c r="K34" s="5"/>
      <c r="L34" s="5"/>
      <c r="M34" s="5"/>
      <c r="N34" s="5"/>
      <c r="O34" s="5"/>
      <c r="P34" s="5"/>
    </row>
    <row r="35" spans="1:16">
      <c r="A35" s="33" t="s">
        <v>61</v>
      </c>
      <c r="B35" s="34">
        <f>B20*-B23/100</f>
        <v>-5290</v>
      </c>
      <c r="C35" s="34"/>
      <c r="D35" s="34">
        <f>-B35</f>
        <v>5290</v>
      </c>
      <c r="E35" s="34"/>
      <c r="F35" s="34"/>
      <c r="G35" s="29"/>
      <c r="H35" s="51">
        <f t="shared" si="0"/>
        <v>31</v>
      </c>
      <c r="I35" s="51">
        <v>0.5</v>
      </c>
      <c r="J35" s="51">
        <f t="shared" si="1"/>
        <v>49</v>
      </c>
      <c r="K35" s="5"/>
      <c r="L35" s="5"/>
      <c r="M35" s="5"/>
      <c r="N35" s="5"/>
      <c r="O35" s="5"/>
      <c r="P35" s="5"/>
    </row>
    <row r="36" spans="1:16">
      <c r="A36" s="33" t="s">
        <v>95</v>
      </c>
      <c r="B36" s="34">
        <f>B20*(B23-19)/100*B24/100</f>
        <v>455.4</v>
      </c>
      <c r="C36" s="34"/>
      <c r="D36" s="65">
        <f>D35*-B24/100*0.86</f>
        <v>-2251.953</v>
      </c>
      <c r="E36" s="34"/>
      <c r="F36" s="34"/>
      <c r="G36" s="29"/>
      <c r="H36" s="51">
        <f t="shared" si="0"/>
        <v>32</v>
      </c>
      <c r="I36" s="51">
        <f t="shared" ref="I36:I46" si="4">I35</f>
        <v>0.5</v>
      </c>
      <c r="J36" s="51">
        <f t="shared" si="1"/>
        <v>48.5</v>
      </c>
      <c r="K36" s="5"/>
      <c r="L36" s="5"/>
      <c r="M36" s="5"/>
      <c r="N36" s="5"/>
      <c r="O36" s="5"/>
      <c r="P36" s="5"/>
    </row>
    <row r="37" spans="1:16">
      <c r="A37" s="33" t="s">
        <v>4</v>
      </c>
      <c r="B37" s="34"/>
      <c r="C37" s="34"/>
      <c r="D37" s="34" t="s">
        <v>4</v>
      </c>
      <c r="E37" s="34"/>
      <c r="F37" s="34"/>
      <c r="G37" s="29"/>
      <c r="H37" s="51">
        <f t="shared" si="0"/>
        <v>33</v>
      </c>
      <c r="I37" s="51">
        <f t="shared" si="4"/>
        <v>0.5</v>
      </c>
      <c r="J37" s="51">
        <f t="shared" si="1"/>
        <v>48</v>
      </c>
      <c r="K37" s="5"/>
      <c r="L37" s="5"/>
      <c r="M37" s="5"/>
      <c r="N37" s="5"/>
      <c r="O37" s="5"/>
      <c r="P37" s="5"/>
    </row>
    <row r="38" spans="1:16" ht="13.5" thickBot="1">
      <c r="A38" s="33" t="s">
        <v>64</v>
      </c>
      <c r="B38" s="37">
        <f>SUM(B34:B37)</f>
        <v>6017.0199828099176</v>
      </c>
      <c r="C38" s="34"/>
      <c r="D38" s="37">
        <f>SUM(D34:D37)</f>
        <v>3038.047</v>
      </c>
      <c r="E38" s="34"/>
      <c r="F38" s="37">
        <f>SUM(B38+D38)</f>
        <v>9055.066982809918</v>
      </c>
      <c r="G38" s="29"/>
      <c r="H38" s="51">
        <f t="shared" ref="H38:H69" si="5">H37+1</f>
        <v>34</v>
      </c>
      <c r="I38" s="51">
        <f t="shared" si="4"/>
        <v>0.5</v>
      </c>
      <c r="J38" s="51">
        <f t="shared" ref="J38:J69" si="6">J37-I38</f>
        <v>47.5</v>
      </c>
      <c r="K38" s="5"/>
      <c r="L38" s="5"/>
      <c r="M38" s="5"/>
      <c r="N38" s="5"/>
      <c r="O38" s="5"/>
      <c r="P38" s="5"/>
    </row>
    <row r="39" spans="1:16" ht="13.5" thickTop="1">
      <c r="A39" s="29"/>
      <c r="B39" s="34"/>
      <c r="C39" s="34"/>
      <c r="D39" s="34"/>
      <c r="E39" s="34"/>
      <c r="F39" s="34"/>
      <c r="G39" s="29"/>
      <c r="H39" s="51">
        <f t="shared" si="5"/>
        <v>35</v>
      </c>
      <c r="I39" s="51">
        <f t="shared" si="4"/>
        <v>0.5</v>
      </c>
      <c r="J39" s="51">
        <f t="shared" si="6"/>
        <v>47</v>
      </c>
      <c r="K39" s="5"/>
      <c r="L39" s="5"/>
      <c r="M39" s="5"/>
      <c r="N39" s="5"/>
      <c r="O39" s="5"/>
      <c r="P39" s="5"/>
    </row>
    <row r="40" spans="1:16" ht="13.5" thickBot="1">
      <c r="A40" s="29" t="s">
        <v>65</v>
      </c>
      <c r="B40" s="34"/>
      <c r="C40" s="34"/>
      <c r="D40" s="34"/>
      <c r="E40" s="34"/>
      <c r="F40" s="38">
        <f>F38*(B12/12)</f>
        <v>45275.334914049592</v>
      </c>
      <c r="G40" s="29"/>
      <c r="H40" s="51">
        <f t="shared" si="5"/>
        <v>36</v>
      </c>
      <c r="I40" s="51">
        <f t="shared" si="4"/>
        <v>0.5</v>
      </c>
      <c r="J40" s="51">
        <f t="shared" si="6"/>
        <v>46.5</v>
      </c>
      <c r="K40" s="5"/>
      <c r="L40" s="5"/>
      <c r="M40" s="5"/>
      <c r="N40" s="5"/>
      <c r="O40" s="5"/>
      <c r="P40" s="5"/>
    </row>
    <row r="41" spans="1:16" ht="13.5" thickTop="1">
      <c r="A41" s="29"/>
      <c r="B41" s="34"/>
      <c r="C41" s="34"/>
      <c r="D41" s="34"/>
      <c r="E41" s="34"/>
      <c r="F41" s="34"/>
      <c r="G41" s="29"/>
      <c r="H41" s="51">
        <f t="shared" si="5"/>
        <v>37</v>
      </c>
      <c r="I41" s="51">
        <f t="shared" si="4"/>
        <v>0.5</v>
      </c>
      <c r="J41" s="51">
        <f t="shared" si="6"/>
        <v>46</v>
      </c>
      <c r="K41" s="5"/>
      <c r="L41" s="5"/>
      <c r="M41" s="5"/>
      <c r="N41" s="5"/>
      <c r="O41" s="5"/>
      <c r="P41" s="5"/>
    </row>
    <row r="42" spans="1:16">
      <c r="A42" s="26" t="s">
        <v>96</v>
      </c>
      <c r="B42" s="27"/>
      <c r="C42" s="28"/>
      <c r="D42" s="28"/>
      <c r="E42" s="28"/>
      <c r="F42" s="27"/>
      <c r="G42" s="29"/>
      <c r="H42" s="51">
        <f t="shared" si="5"/>
        <v>38</v>
      </c>
      <c r="I42" s="51">
        <f t="shared" si="4"/>
        <v>0.5</v>
      </c>
      <c r="J42" s="51">
        <f t="shared" si="6"/>
        <v>45.5</v>
      </c>
      <c r="K42" s="5"/>
      <c r="L42" s="5"/>
      <c r="M42" s="5"/>
      <c r="N42" s="5"/>
      <c r="O42" s="5"/>
      <c r="P42" s="5"/>
    </row>
    <row r="43" spans="1:16">
      <c r="A43" s="29"/>
      <c r="B43" s="30" t="s">
        <v>67</v>
      </c>
      <c r="C43" s="29"/>
      <c r="D43" s="32" t="s">
        <v>94</v>
      </c>
      <c r="E43" s="29"/>
      <c r="F43" s="30" t="s">
        <v>55</v>
      </c>
      <c r="G43" s="29"/>
      <c r="H43" s="51">
        <f t="shared" si="5"/>
        <v>39</v>
      </c>
      <c r="I43" s="51">
        <f t="shared" si="4"/>
        <v>0.5</v>
      </c>
      <c r="J43" s="51">
        <f t="shared" si="6"/>
        <v>45</v>
      </c>
      <c r="K43" s="5"/>
      <c r="L43" s="5"/>
      <c r="M43" s="5"/>
      <c r="N43" s="5"/>
      <c r="O43" s="5"/>
      <c r="P43" s="5"/>
    </row>
    <row r="44" spans="1:16">
      <c r="A44" s="33" t="s">
        <v>56</v>
      </c>
      <c r="B44" s="34"/>
      <c r="C44" s="34"/>
      <c r="D44" s="34">
        <f>((($B$7-$B$9*$B$10/100)*100/121+$B$9*$B$10/100)-(($B$11-J136)*100/121+J136))/($B$12/12)</f>
        <v>4105.6045695867779</v>
      </c>
      <c r="E44" s="34"/>
      <c r="F44" s="34"/>
      <c r="G44" s="29"/>
      <c r="H44" s="51">
        <f t="shared" si="5"/>
        <v>40</v>
      </c>
      <c r="I44" s="51">
        <f t="shared" si="4"/>
        <v>0.5</v>
      </c>
      <c r="J44" s="51">
        <f t="shared" si="6"/>
        <v>44.5</v>
      </c>
      <c r="K44" s="5"/>
      <c r="L44" s="5"/>
      <c r="M44" s="5"/>
      <c r="N44" s="5"/>
      <c r="O44" s="5"/>
      <c r="P44" s="5"/>
    </row>
    <row r="45" spans="1:16">
      <c r="A45" s="33" t="s">
        <v>57</v>
      </c>
      <c r="B45" s="34"/>
      <c r="C45" s="34"/>
      <c r="D45" s="34">
        <f>B30</f>
        <v>964.88280991735553</v>
      </c>
      <c r="E45" s="34"/>
      <c r="F45" s="34"/>
      <c r="G45" s="29" t="s">
        <v>4</v>
      </c>
      <c r="H45" s="51">
        <f t="shared" si="5"/>
        <v>41</v>
      </c>
      <c r="I45" s="51">
        <f t="shared" si="4"/>
        <v>0.5</v>
      </c>
      <c r="J45" s="51">
        <f t="shared" si="6"/>
        <v>44</v>
      </c>
      <c r="K45" s="5"/>
      <c r="L45" s="5"/>
      <c r="M45" s="5"/>
      <c r="N45" s="5"/>
      <c r="O45" s="5"/>
      <c r="P45" s="5"/>
    </row>
    <row r="46" spans="1:16">
      <c r="A46" s="33" t="str">
        <f>A31</f>
        <v>Verzekering/MRB/onderhoud</v>
      </c>
      <c r="B46" s="34"/>
      <c r="C46" s="34"/>
      <c r="D46" s="34">
        <f>B13*100/121+B14+B15</f>
        <v>2228.5123966942147</v>
      </c>
      <c r="E46" s="34"/>
      <c r="F46" s="34" t="s">
        <v>4</v>
      </c>
      <c r="G46" s="29"/>
      <c r="H46" s="51">
        <f t="shared" si="5"/>
        <v>42</v>
      </c>
      <c r="I46" s="51">
        <f t="shared" si="4"/>
        <v>0.5</v>
      </c>
      <c r="J46" s="51">
        <f t="shared" si="6"/>
        <v>43.5</v>
      </c>
      <c r="K46" s="5"/>
      <c r="L46" s="5"/>
      <c r="M46" s="5"/>
      <c r="N46" s="5"/>
      <c r="O46" s="5"/>
      <c r="P46" s="5"/>
    </row>
    <row r="47" spans="1:16">
      <c r="A47" s="33" t="str">
        <f>A32</f>
        <v>Brandstof</v>
      </c>
      <c r="B47" s="34"/>
      <c r="C47" s="34"/>
      <c r="D47" s="34">
        <f>B32</f>
        <v>2522.9752066115702</v>
      </c>
      <c r="E47" s="34"/>
      <c r="F47" s="34"/>
      <c r="G47" s="29"/>
      <c r="H47" s="51">
        <f t="shared" si="5"/>
        <v>43</v>
      </c>
      <c r="I47" s="51">
        <v>0.42</v>
      </c>
      <c r="J47" s="51">
        <f t="shared" si="6"/>
        <v>43.08</v>
      </c>
      <c r="K47" s="5"/>
      <c r="L47" s="5"/>
      <c r="M47" s="5"/>
      <c r="N47" s="5"/>
      <c r="O47" s="5"/>
      <c r="P47" s="5"/>
    </row>
    <row r="48" spans="1:16">
      <c r="A48" s="33" t="s">
        <v>68</v>
      </c>
      <c r="B48" s="34"/>
      <c r="C48" s="34"/>
      <c r="D48" s="34">
        <f>0.027*B8</f>
        <v>1029.645</v>
      </c>
      <c r="E48" s="34"/>
      <c r="F48" s="34"/>
      <c r="G48" s="29"/>
      <c r="H48" s="51">
        <f t="shared" si="5"/>
        <v>44</v>
      </c>
      <c r="I48" s="51">
        <v>0.42</v>
      </c>
      <c r="J48" s="51">
        <f t="shared" si="6"/>
        <v>42.66</v>
      </c>
      <c r="K48" s="5"/>
      <c r="L48" s="5"/>
      <c r="M48" s="5"/>
      <c r="N48" s="5"/>
      <c r="O48" s="5"/>
      <c r="P48" s="5"/>
    </row>
    <row r="49" spans="1:16">
      <c r="A49" s="29" t="str">
        <f>A36</f>
        <v>Inkomstenbelasting</v>
      </c>
      <c r="B49" s="34"/>
      <c r="C49" s="34"/>
      <c r="D49" s="34">
        <f>(SUM(D44:D48)+B22)*-B24/100*0.873</f>
        <v>-4689.3648012715639</v>
      </c>
      <c r="E49" s="34" t="s">
        <v>4</v>
      </c>
      <c r="F49" s="34" t="s">
        <v>4</v>
      </c>
      <c r="G49" s="29"/>
      <c r="H49" s="51">
        <f t="shared" si="5"/>
        <v>45</v>
      </c>
      <c r="I49" s="51">
        <v>0.42</v>
      </c>
      <c r="J49" s="51">
        <f t="shared" si="6"/>
        <v>42.239999999999995</v>
      </c>
      <c r="K49" s="5"/>
      <c r="L49" s="5"/>
      <c r="M49" s="5"/>
      <c r="N49" s="5"/>
      <c r="O49" s="5"/>
      <c r="P49" s="5"/>
    </row>
    <row r="50" spans="1:16">
      <c r="A50" s="33" t="s">
        <v>69</v>
      </c>
      <c r="B50" s="34">
        <f>IF(B19&lt;500,0,IF(AND(B19&gt;500,SUM(D44:D48)&lt;(B8*(B21/100))),B24/100*0.86*SUM(D44:D48),((B24/100)*0.86*(B21*B8))/100))</f>
        <v>3571.4952899999998</v>
      </c>
      <c r="C50" s="29"/>
      <c r="D50" s="34" t="s">
        <v>4</v>
      </c>
      <c r="E50" s="29"/>
      <c r="F50" s="34" t="s">
        <v>4</v>
      </c>
      <c r="G50" s="29"/>
      <c r="H50" s="51">
        <f t="shared" si="5"/>
        <v>46</v>
      </c>
      <c r="I50" s="51">
        <v>0.42</v>
      </c>
      <c r="J50" s="51">
        <f t="shared" si="6"/>
        <v>41.819999999999993</v>
      </c>
      <c r="K50" s="5"/>
      <c r="L50" s="5"/>
      <c r="M50" s="5"/>
      <c r="N50" s="5"/>
      <c r="O50" s="5"/>
      <c r="P50" s="5"/>
    </row>
    <row r="51" spans="1:16">
      <c r="A51" s="29"/>
      <c r="B51" s="34"/>
      <c r="C51" s="34"/>
      <c r="D51" s="34"/>
      <c r="E51" s="34"/>
      <c r="F51" s="34" t="s">
        <v>4</v>
      </c>
      <c r="G51" s="29"/>
      <c r="H51" s="51">
        <f t="shared" si="5"/>
        <v>47</v>
      </c>
      <c r="I51" s="51">
        <v>0.42</v>
      </c>
      <c r="J51" s="51">
        <f t="shared" si="6"/>
        <v>41.399999999999991</v>
      </c>
      <c r="K51" s="5"/>
      <c r="L51" s="5"/>
      <c r="M51" s="5"/>
      <c r="N51" s="5"/>
      <c r="O51" s="5"/>
      <c r="P51" s="5"/>
    </row>
    <row r="52" spans="1:16" ht="13.5" thickBot="1">
      <c r="A52" s="33" t="s">
        <v>70</v>
      </c>
      <c r="B52" s="37">
        <f>SUM(B44:B50)</f>
        <v>3571.4952899999998</v>
      </c>
      <c r="C52" s="34"/>
      <c r="D52" s="37">
        <f>SUM(D44:D51)</f>
        <v>6162.255181538354</v>
      </c>
      <c r="E52" s="34"/>
      <c r="F52" s="37">
        <f>SUM(B52+D52)</f>
        <v>9733.7504715383548</v>
      </c>
      <c r="G52" s="29" t="s">
        <v>71</v>
      </c>
      <c r="H52" s="51">
        <f t="shared" si="5"/>
        <v>48</v>
      </c>
      <c r="I52" s="51">
        <v>0.42</v>
      </c>
      <c r="J52" s="51">
        <f t="shared" si="6"/>
        <v>40.97999999999999</v>
      </c>
      <c r="K52" s="5"/>
      <c r="L52" s="5"/>
      <c r="M52" s="5"/>
      <c r="N52" s="5"/>
      <c r="O52" s="5"/>
      <c r="P52" s="5"/>
    </row>
    <row r="53" spans="1:16" ht="13.5" thickTop="1">
      <c r="A53" s="29"/>
      <c r="B53" s="34"/>
      <c r="C53" s="34"/>
      <c r="D53" s="34"/>
      <c r="E53" s="34"/>
      <c r="F53" s="34"/>
      <c r="G53" s="29"/>
      <c r="H53" s="51">
        <f t="shared" si="5"/>
        <v>49</v>
      </c>
      <c r="I53" s="51">
        <v>0.42</v>
      </c>
      <c r="J53" s="51">
        <f t="shared" si="6"/>
        <v>40.559999999999988</v>
      </c>
      <c r="K53" s="5"/>
      <c r="L53" s="5"/>
      <c r="M53" s="5"/>
      <c r="N53" s="5"/>
      <c r="O53" s="5"/>
      <c r="P53" s="5"/>
    </row>
    <row r="54" spans="1:16" ht="13.5" thickBot="1">
      <c r="A54" s="29" t="s">
        <v>72</v>
      </c>
      <c r="B54" s="34" t="s">
        <v>4</v>
      </c>
      <c r="C54" s="29"/>
      <c r="D54" s="29"/>
      <c r="E54" s="29"/>
      <c r="F54" s="38">
        <f>F52+(F52+B22*B24/100*0.86)*((B12/12)-1)</f>
        <v>48668.752357691774</v>
      </c>
      <c r="G54" s="29"/>
      <c r="H54" s="51">
        <f t="shared" si="5"/>
        <v>50</v>
      </c>
      <c r="I54" s="51">
        <v>0.42</v>
      </c>
      <c r="J54" s="51">
        <f t="shared" si="6"/>
        <v>40.139999999999986</v>
      </c>
      <c r="K54" s="5"/>
      <c r="L54" s="5"/>
      <c r="M54" s="5"/>
      <c r="N54" s="5"/>
      <c r="O54" s="5"/>
      <c r="P54" s="5"/>
    </row>
    <row r="55" spans="1:16" ht="13.5" thickTop="1">
      <c r="A55" s="5"/>
      <c r="B55" s="4" t="s">
        <v>4</v>
      </c>
      <c r="C55" s="5"/>
      <c r="D55" s="4" t="s">
        <v>4</v>
      </c>
      <c r="E55" s="5"/>
      <c r="F55" s="4" t="s">
        <v>4</v>
      </c>
      <c r="G55" s="5"/>
      <c r="H55" s="51">
        <f t="shared" si="5"/>
        <v>51</v>
      </c>
      <c r="I55" s="51">
        <v>0.42</v>
      </c>
      <c r="J55" s="51">
        <f t="shared" si="6"/>
        <v>39.719999999999985</v>
      </c>
      <c r="K55" s="5"/>
      <c r="L55" s="5"/>
      <c r="M55" s="5"/>
      <c r="N55" s="5"/>
      <c r="O55" s="5"/>
      <c r="P55" s="5"/>
    </row>
    <row r="56" spans="1:16">
      <c r="A56" s="5"/>
      <c r="B56" s="4"/>
      <c r="C56" s="5"/>
      <c r="D56" s="5"/>
      <c r="E56" s="5"/>
      <c r="F56" s="5" t="s">
        <v>4</v>
      </c>
      <c r="G56" s="5"/>
      <c r="H56" s="51">
        <f t="shared" si="5"/>
        <v>52</v>
      </c>
      <c r="I56" s="51">
        <v>0.42</v>
      </c>
      <c r="J56" s="51">
        <f t="shared" si="6"/>
        <v>39.299999999999983</v>
      </c>
      <c r="K56" s="5"/>
      <c r="L56" s="5"/>
      <c r="M56" s="5"/>
      <c r="N56" s="5"/>
      <c r="O56" s="5"/>
      <c r="P56" s="5"/>
    </row>
    <row r="57" spans="1:16">
      <c r="A57" s="23" t="s">
        <v>73</v>
      </c>
      <c r="B57" s="24"/>
      <c r="C57" s="25"/>
      <c r="D57" s="8" t="str">
        <f>IF((F54-F40)&gt;0,"in privé","in de onderneming")</f>
        <v>in privé</v>
      </c>
      <c r="E57" s="5"/>
      <c r="F57" s="5"/>
      <c r="G57" s="5"/>
      <c r="H57" s="51">
        <f t="shared" si="5"/>
        <v>53</v>
      </c>
      <c r="I57" s="51">
        <v>0.42</v>
      </c>
      <c r="J57" s="51">
        <f t="shared" si="6"/>
        <v>38.879999999999981</v>
      </c>
      <c r="K57" s="5"/>
      <c r="L57" s="5"/>
      <c r="M57" s="5"/>
      <c r="N57" s="5"/>
      <c r="O57" s="5"/>
      <c r="P57" s="5"/>
    </row>
    <row r="58" spans="1:16">
      <c r="A58" s="5"/>
      <c r="B58" s="4"/>
      <c r="C58" s="5"/>
      <c r="D58" s="5"/>
      <c r="E58" s="5"/>
      <c r="F58" s="4" t="s">
        <v>4</v>
      </c>
      <c r="G58" s="5"/>
      <c r="H58" s="51">
        <f t="shared" si="5"/>
        <v>54</v>
      </c>
      <c r="I58" s="51">
        <v>0.42</v>
      </c>
      <c r="J58" s="51">
        <f t="shared" si="6"/>
        <v>38.45999999999998</v>
      </c>
      <c r="K58" s="5"/>
      <c r="L58" s="5"/>
      <c r="M58" s="5"/>
      <c r="N58" s="5"/>
      <c r="O58" s="5"/>
      <c r="P58" s="5"/>
    </row>
    <row r="59" spans="1:16">
      <c r="A59" s="5"/>
      <c r="B59" s="4"/>
      <c r="C59" s="5"/>
      <c r="D59" s="5"/>
      <c r="E59" s="5"/>
      <c r="F59" s="5" t="s">
        <v>4</v>
      </c>
      <c r="G59" s="5"/>
      <c r="H59" s="51">
        <f t="shared" si="5"/>
        <v>55</v>
      </c>
      <c r="I59" s="51">
        <v>0.42</v>
      </c>
      <c r="J59" s="51">
        <f t="shared" si="6"/>
        <v>38.039999999999978</v>
      </c>
      <c r="K59" s="5"/>
      <c r="L59" s="5"/>
      <c r="M59" s="5"/>
      <c r="N59" s="5"/>
      <c r="O59" s="5"/>
      <c r="P59" s="5"/>
    </row>
    <row r="60" spans="1:16">
      <c r="A60" s="5"/>
      <c r="B60" s="4"/>
      <c r="C60" s="5"/>
      <c r="D60" s="5"/>
      <c r="E60" s="5"/>
      <c r="F60" s="5"/>
      <c r="G60" s="5"/>
      <c r="H60" s="51">
        <f t="shared" si="5"/>
        <v>56</v>
      </c>
      <c r="I60" s="51">
        <v>0.42</v>
      </c>
      <c r="J60" s="51">
        <f t="shared" si="6"/>
        <v>37.619999999999976</v>
      </c>
      <c r="K60" s="5"/>
      <c r="L60" s="5"/>
      <c r="M60" s="5"/>
      <c r="N60" s="5"/>
      <c r="O60" s="5"/>
      <c r="P60" s="5"/>
    </row>
    <row r="61" spans="1:16">
      <c r="A61" s="22" t="s">
        <v>4</v>
      </c>
      <c r="B61" s="4"/>
      <c r="C61" s="5"/>
      <c r="D61" s="5"/>
      <c r="E61" s="5"/>
      <c r="F61" s="5"/>
      <c r="G61" s="5"/>
      <c r="H61" s="51">
        <f t="shared" si="5"/>
        <v>57</v>
      </c>
      <c r="I61" s="51">
        <v>0.42</v>
      </c>
      <c r="J61" s="51">
        <f t="shared" si="6"/>
        <v>37.199999999999974</v>
      </c>
      <c r="K61" s="5"/>
      <c r="L61" s="5"/>
      <c r="M61" s="5"/>
      <c r="N61" s="5"/>
      <c r="O61" s="5"/>
      <c r="P61" s="5"/>
    </row>
    <row r="62" spans="1:16">
      <c r="A62" s="22" t="s">
        <v>77</v>
      </c>
      <c r="B62" s="4"/>
      <c r="C62" s="5"/>
      <c r="D62" s="5"/>
      <c r="E62" s="5"/>
      <c r="F62" s="5"/>
      <c r="G62" s="5"/>
      <c r="H62" s="51">
        <f t="shared" si="5"/>
        <v>58</v>
      </c>
      <c r="I62" s="51">
        <v>0.42</v>
      </c>
      <c r="J62" s="51">
        <f t="shared" si="6"/>
        <v>36.779999999999973</v>
      </c>
      <c r="K62" s="5"/>
      <c r="L62" s="5"/>
      <c r="M62" s="5"/>
      <c r="N62" s="5"/>
      <c r="O62" s="5"/>
      <c r="P62" s="5"/>
    </row>
    <row r="63" spans="1:16">
      <c r="A63" s="22" t="s">
        <v>78</v>
      </c>
      <c r="B63" s="4"/>
      <c r="C63" s="5"/>
      <c r="D63" s="5"/>
      <c r="E63" s="5"/>
      <c r="F63" s="5"/>
      <c r="G63" s="5"/>
      <c r="H63" s="51">
        <f t="shared" si="5"/>
        <v>59</v>
      </c>
      <c r="I63" s="51">
        <v>0.42</v>
      </c>
      <c r="J63" s="51">
        <f t="shared" si="6"/>
        <v>36.359999999999971</v>
      </c>
      <c r="K63" s="5"/>
      <c r="L63" s="5"/>
      <c r="M63" s="5"/>
      <c r="N63" s="5"/>
      <c r="O63" s="5"/>
      <c r="P63" s="5"/>
    </row>
    <row r="64" spans="1:16">
      <c r="A64" s="5"/>
      <c r="B64" s="4"/>
      <c r="C64" s="5"/>
      <c r="D64" s="5"/>
      <c r="E64" s="5"/>
      <c r="F64" s="5"/>
      <c r="G64" s="5"/>
      <c r="H64" s="51">
        <f t="shared" si="5"/>
        <v>60</v>
      </c>
      <c r="I64" s="51">
        <v>0.42</v>
      </c>
      <c r="J64" s="51">
        <f t="shared" si="6"/>
        <v>35.939999999999969</v>
      </c>
      <c r="K64" s="5"/>
      <c r="L64" s="5"/>
      <c r="M64" s="5"/>
      <c r="N64" s="5"/>
      <c r="O64" s="5"/>
      <c r="P64" s="5"/>
    </row>
    <row r="65" spans="1:16">
      <c r="A65" s="22" t="str">
        <f>'DGA, geen BTW-aftrek in prive'!A67</f>
        <v>(c) 2025 mr. H.A. Elbert - Elbert Fiscaal -</v>
      </c>
      <c r="B65" s="4"/>
      <c r="C65" s="5"/>
      <c r="D65" s="5"/>
      <c r="E65" s="5"/>
      <c r="F65" s="5"/>
      <c r="G65" s="5"/>
      <c r="H65" s="51">
        <f t="shared" si="5"/>
        <v>61</v>
      </c>
      <c r="I65" s="51">
        <v>0.42</v>
      </c>
      <c r="J65" s="51">
        <f t="shared" si="6"/>
        <v>35.519999999999968</v>
      </c>
      <c r="K65" s="5"/>
      <c r="L65" s="5"/>
      <c r="M65" s="5"/>
      <c r="N65" s="5"/>
      <c r="O65" s="5"/>
      <c r="P65" s="5"/>
    </row>
    <row r="66" spans="1:16">
      <c r="A66" s="22" t="str">
        <f>'DGA, geen BTW-aftrek in prive'!A68</f>
        <v>Hoewel aan de samenstelling de uiterste zorg is besteed, aanvaardt mr. H.A. Elbert - Elbert Fiscaal - geen enkele</v>
      </c>
      <c r="B66" s="4"/>
      <c r="C66" s="5"/>
      <c r="D66" s="5"/>
      <c r="E66" s="5"/>
      <c r="F66" s="5"/>
      <c r="G66" s="5"/>
      <c r="H66" s="51">
        <f t="shared" si="5"/>
        <v>62</v>
      </c>
      <c r="I66" s="51">
        <v>0.42</v>
      </c>
      <c r="J66" s="51">
        <f t="shared" si="6"/>
        <v>35.099999999999966</v>
      </c>
      <c r="K66" s="5"/>
      <c r="L66" s="5"/>
      <c r="M66" s="5"/>
      <c r="N66" s="5"/>
      <c r="O66" s="5"/>
      <c r="P66" s="5"/>
    </row>
    <row r="67" spans="1:16">
      <c r="A67" s="22" t="s">
        <v>97</v>
      </c>
      <c r="B67" s="4"/>
      <c r="C67" s="5"/>
      <c r="D67" s="5"/>
      <c r="E67" s="5"/>
      <c r="F67" s="5"/>
      <c r="G67" s="5"/>
      <c r="H67" s="51">
        <f t="shared" si="5"/>
        <v>63</v>
      </c>
      <c r="I67" s="51">
        <v>0.42</v>
      </c>
      <c r="J67" s="51">
        <f t="shared" si="6"/>
        <v>34.679999999999964</v>
      </c>
      <c r="K67" s="5"/>
      <c r="L67" s="5"/>
      <c r="M67" s="5"/>
      <c r="N67" s="5"/>
      <c r="O67" s="5"/>
      <c r="P67" s="5"/>
    </row>
    <row r="68" spans="1:16">
      <c r="A68" s="5"/>
      <c r="B68" s="4"/>
      <c r="C68" s="5"/>
      <c r="D68" s="5"/>
      <c r="E68" s="5"/>
      <c r="F68" s="5"/>
      <c r="G68" s="5"/>
      <c r="H68" s="51">
        <f t="shared" si="5"/>
        <v>64</v>
      </c>
      <c r="I68" s="51">
        <v>0.42</v>
      </c>
      <c r="J68" s="51">
        <f t="shared" si="6"/>
        <v>34.259999999999962</v>
      </c>
      <c r="K68" s="5"/>
      <c r="L68" s="5"/>
      <c r="M68" s="5"/>
      <c r="N68" s="5"/>
      <c r="O68" s="5"/>
      <c r="P68" s="5"/>
    </row>
    <row r="69" spans="1:16">
      <c r="A69" s="5"/>
      <c r="B69" s="4"/>
      <c r="C69" s="5"/>
      <c r="D69" s="5"/>
      <c r="E69" s="5"/>
      <c r="F69" s="5"/>
      <c r="G69" s="5"/>
      <c r="H69" s="51">
        <f t="shared" si="5"/>
        <v>65</v>
      </c>
      <c r="I69" s="51">
        <v>0.42</v>
      </c>
      <c r="J69" s="51">
        <f t="shared" si="6"/>
        <v>33.839999999999961</v>
      </c>
      <c r="K69" s="5"/>
      <c r="L69" s="5"/>
      <c r="M69" s="5"/>
      <c r="N69" s="5"/>
      <c r="O69" s="5"/>
      <c r="P69" s="5"/>
    </row>
    <row r="70" spans="1:16">
      <c r="A70" s="5"/>
      <c r="B70" s="4"/>
      <c r="C70" s="5"/>
      <c r="D70" s="5"/>
      <c r="E70" s="5"/>
      <c r="F70" s="5"/>
      <c r="G70" s="5"/>
      <c r="H70" s="51">
        <f>H69+1</f>
        <v>66</v>
      </c>
      <c r="I70" s="51">
        <v>0.42</v>
      </c>
      <c r="J70" s="51">
        <f>J69-I70</f>
        <v>33.419999999999959</v>
      </c>
      <c r="K70" s="5"/>
      <c r="L70" s="5"/>
      <c r="M70" s="5"/>
      <c r="N70" s="5"/>
      <c r="O70" s="5"/>
      <c r="P70" s="5"/>
    </row>
    <row r="71" spans="1:16">
      <c r="A71" s="5"/>
      <c r="B71" s="4"/>
      <c r="C71" s="5"/>
      <c r="D71" s="5"/>
      <c r="E71" s="5"/>
      <c r="F71" s="5"/>
      <c r="G71" s="5"/>
      <c r="H71" s="51">
        <f t="shared" ref="H71:H102" si="7">H70+1</f>
        <v>67</v>
      </c>
      <c r="I71" s="51">
        <v>0.42</v>
      </c>
      <c r="J71" s="51">
        <f t="shared" ref="J71:J102" si="8">J70-I71</f>
        <v>32.999999999999957</v>
      </c>
      <c r="K71" s="5"/>
      <c r="L71" s="5"/>
      <c r="M71" s="5"/>
      <c r="N71" s="5"/>
      <c r="O71" s="5"/>
      <c r="P71" s="5"/>
    </row>
    <row r="72" spans="1:16">
      <c r="A72" s="5"/>
      <c r="B72" s="4"/>
      <c r="C72" s="5"/>
      <c r="D72" s="5"/>
      <c r="E72" s="5"/>
      <c r="F72" s="5"/>
      <c r="G72" s="5"/>
      <c r="H72" s="51">
        <f t="shared" si="7"/>
        <v>68</v>
      </c>
      <c r="I72" s="51">
        <v>0.42</v>
      </c>
      <c r="J72" s="51">
        <f t="shared" si="8"/>
        <v>32.579999999999956</v>
      </c>
      <c r="K72" s="5"/>
      <c r="L72" s="5"/>
      <c r="M72" s="5"/>
      <c r="N72" s="5"/>
      <c r="O72" s="5"/>
      <c r="P72" s="5"/>
    </row>
    <row r="73" spans="1:16">
      <c r="A73" s="5"/>
      <c r="B73" s="4"/>
      <c r="C73" s="5"/>
      <c r="D73" s="5"/>
      <c r="E73" s="5"/>
      <c r="F73" s="5"/>
      <c r="G73" s="5"/>
      <c r="H73" s="51">
        <f t="shared" si="7"/>
        <v>69</v>
      </c>
      <c r="I73" s="51">
        <v>0.42</v>
      </c>
      <c r="J73" s="51">
        <f t="shared" si="8"/>
        <v>32.159999999999954</v>
      </c>
      <c r="K73" s="5"/>
      <c r="L73" s="5"/>
      <c r="M73" s="5"/>
      <c r="N73" s="5"/>
      <c r="O73" s="5"/>
      <c r="P73" s="5"/>
    </row>
    <row r="74" spans="1:16">
      <c r="A74" s="5"/>
      <c r="B74" s="4"/>
      <c r="C74" s="5"/>
      <c r="D74" s="5"/>
      <c r="E74" s="5"/>
      <c r="F74" s="5"/>
      <c r="G74" s="5"/>
      <c r="H74" s="51">
        <f t="shared" si="7"/>
        <v>70</v>
      </c>
      <c r="I74" s="51">
        <v>0.42</v>
      </c>
      <c r="J74" s="51">
        <f t="shared" si="8"/>
        <v>31.739999999999952</v>
      </c>
      <c r="K74" s="5"/>
      <c r="L74" s="5"/>
      <c r="M74" s="5"/>
      <c r="N74" s="5"/>
      <c r="O74" s="5"/>
      <c r="P74" s="5"/>
    </row>
    <row r="75" spans="1:16">
      <c r="A75" s="5"/>
      <c r="B75" s="4"/>
      <c r="C75" s="5"/>
      <c r="D75" s="5"/>
      <c r="E75" s="5"/>
      <c r="F75" s="5"/>
      <c r="G75" s="5"/>
      <c r="H75" s="51">
        <f t="shared" si="7"/>
        <v>71</v>
      </c>
      <c r="I75" s="51">
        <v>0.42</v>
      </c>
      <c r="J75" s="51">
        <f t="shared" si="8"/>
        <v>31.319999999999951</v>
      </c>
      <c r="K75" s="5"/>
      <c r="L75" s="5"/>
      <c r="M75" s="5"/>
      <c r="N75" s="5"/>
      <c r="O75" s="5"/>
      <c r="P75" s="5"/>
    </row>
    <row r="76" spans="1:16">
      <c r="A76" s="5"/>
      <c r="B76" s="4"/>
      <c r="C76" s="5"/>
      <c r="D76" s="5"/>
      <c r="E76" s="5"/>
      <c r="F76" s="5"/>
      <c r="G76" s="5"/>
      <c r="H76" s="51">
        <f t="shared" si="7"/>
        <v>72</v>
      </c>
      <c r="I76" s="51">
        <v>0.42</v>
      </c>
      <c r="J76" s="51">
        <f t="shared" si="8"/>
        <v>30.899999999999949</v>
      </c>
      <c r="K76" s="5"/>
      <c r="L76" s="5"/>
      <c r="M76" s="5"/>
      <c r="N76" s="5"/>
      <c r="O76" s="5"/>
      <c r="P76" s="5"/>
    </row>
    <row r="77" spans="1:16">
      <c r="A77" s="5"/>
      <c r="B77" s="4"/>
      <c r="C77" s="5"/>
      <c r="D77" s="5"/>
      <c r="E77" s="5"/>
      <c r="F77" s="5"/>
      <c r="G77" s="5"/>
      <c r="H77" s="51">
        <f t="shared" si="7"/>
        <v>73</v>
      </c>
      <c r="I77" s="51">
        <v>0.42</v>
      </c>
      <c r="J77" s="51">
        <f t="shared" si="8"/>
        <v>30.479999999999947</v>
      </c>
      <c r="K77" s="5"/>
      <c r="L77" s="5"/>
      <c r="M77" s="5"/>
      <c r="N77" s="5"/>
      <c r="O77" s="5"/>
      <c r="P77" s="5"/>
    </row>
    <row r="78" spans="1:16">
      <c r="A78" s="5"/>
      <c r="B78" s="4"/>
      <c r="C78" s="5"/>
      <c r="D78" s="5"/>
      <c r="E78" s="5"/>
      <c r="F78" s="5"/>
      <c r="G78" s="5"/>
      <c r="H78" s="51">
        <f t="shared" si="7"/>
        <v>74</v>
      </c>
      <c r="I78" s="51">
        <v>0.42</v>
      </c>
      <c r="J78" s="51">
        <f t="shared" si="8"/>
        <v>30.059999999999945</v>
      </c>
      <c r="K78" s="5"/>
      <c r="L78" s="5"/>
      <c r="M78" s="5"/>
      <c r="N78" s="5"/>
      <c r="O78" s="5"/>
      <c r="P78" s="5"/>
    </row>
    <row r="79" spans="1:16">
      <c r="A79" s="5"/>
      <c r="B79" s="4"/>
      <c r="C79" s="5"/>
      <c r="D79" s="5"/>
      <c r="E79" s="5"/>
      <c r="F79" s="5"/>
      <c r="G79" s="5"/>
      <c r="H79" s="51">
        <f t="shared" si="7"/>
        <v>75</v>
      </c>
      <c r="I79" s="51">
        <v>0.42</v>
      </c>
      <c r="J79" s="51">
        <f t="shared" si="8"/>
        <v>29.639999999999944</v>
      </c>
      <c r="K79" s="5"/>
      <c r="L79" s="5"/>
      <c r="M79" s="5"/>
      <c r="N79" s="5"/>
      <c r="O79" s="5"/>
      <c r="P79" s="5"/>
    </row>
    <row r="80" spans="1:16">
      <c r="A80" s="5"/>
      <c r="B80" s="4"/>
      <c r="C80" s="5"/>
      <c r="D80" s="5"/>
      <c r="E80" s="5"/>
      <c r="F80" s="5"/>
      <c r="G80" s="5"/>
      <c r="H80" s="51">
        <f t="shared" si="7"/>
        <v>76</v>
      </c>
      <c r="I80" s="51">
        <v>0.42</v>
      </c>
      <c r="J80" s="51">
        <f t="shared" si="8"/>
        <v>29.219999999999942</v>
      </c>
      <c r="K80" s="5"/>
      <c r="L80" s="5"/>
      <c r="M80" s="5"/>
      <c r="N80" s="5"/>
      <c r="O80" s="5"/>
      <c r="P80" s="5"/>
    </row>
    <row r="81" spans="1:16">
      <c r="A81" s="5"/>
      <c r="B81" s="4"/>
      <c r="C81" s="5"/>
      <c r="D81" s="5"/>
      <c r="E81" s="5"/>
      <c r="F81" s="5"/>
      <c r="G81" s="5"/>
      <c r="H81" s="51">
        <f t="shared" si="7"/>
        <v>77</v>
      </c>
      <c r="I81" s="51">
        <v>0.42</v>
      </c>
      <c r="J81" s="51">
        <f t="shared" si="8"/>
        <v>28.79999999999994</v>
      </c>
      <c r="K81" s="5"/>
      <c r="L81" s="5"/>
      <c r="M81" s="5"/>
      <c r="N81" s="5"/>
      <c r="O81" s="5"/>
      <c r="P81" s="5"/>
    </row>
    <row r="82" spans="1:16">
      <c r="A82" s="5"/>
      <c r="B82" s="4"/>
      <c r="C82" s="5"/>
      <c r="D82" s="5"/>
      <c r="E82" s="5"/>
      <c r="F82" s="5"/>
      <c r="G82" s="5"/>
      <c r="H82" s="51">
        <f t="shared" si="7"/>
        <v>78</v>
      </c>
      <c r="I82" s="51">
        <v>0.25</v>
      </c>
      <c r="J82" s="51">
        <f t="shared" si="8"/>
        <v>28.54999999999994</v>
      </c>
      <c r="K82" s="5"/>
      <c r="L82" s="5"/>
      <c r="M82" s="5"/>
      <c r="N82" s="5"/>
      <c r="O82" s="5"/>
      <c r="P82" s="5"/>
    </row>
    <row r="83" spans="1:16">
      <c r="A83" s="5"/>
      <c r="B83" s="4"/>
      <c r="C83" s="5"/>
      <c r="D83" s="5"/>
      <c r="E83" s="5"/>
      <c r="F83" s="5"/>
      <c r="G83" s="5"/>
      <c r="H83" s="51">
        <f t="shared" si="7"/>
        <v>79</v>
      </c>
      <c r="I83" s="51">
        <v>0.25</v>
      </c>
      <c r="J83" s="51">
        <f t="shared" si="8"/>
        <v>28.29999999999994</v>
      </c>
      <c r="K83" s="5"/>
      <c r="L83" s="5"/>
      <c r="M83" s="5"/>
      <c r="N83" s="5"/>
      <c r="O83" s="5"/>
      <c r="P83" s="5"/>
    </row>
    <row r="84" spans="1:16">
      <c r="A84" s="5"/>
      <c r="B84" s="4"/>
      <c r="C84" s="5"/>
      <c r="D84" s="5"/>
      <c r="E84" s="5"/>
      <c r="F84" s="5"/>
      <c r="G84" s="5"/>
      <c r="H84" s="51">
        <f t="shared" si="7"/>
        <v>80</v>
      </c>
      <c r="I84" s="51">
        <v>0.25</v>
      </c>
      <c r="J84" s="51">
        <f t="shared" si="8"/>
        <v>28.04999999999994</v>
      </c>
      <c r="K84" s="5"/>
      <c r="L84" s="5"/>
      <c r="M84" s="5"/>
      <c r="N84" s="5"/>
      <c r="O84" s="5"/>
      <c r="P84" s="5"/>
    </row>
    <row r="85" spans="1:16">
      <c r="A85" s="5"/>
      <c r="B85" s="4"/>
      <c r="C85" s="5"/>
      <c r="D85" s="5"/>
      <c r="E85" s="5"/>
      <c r="F85" s="5"/>
      <c r="G85" s="5"/>
      <c r="H85" s="51">
        <f t="shared" si="7"/>
        <v>81</v>
      </c>
      <c r="I85" s="51">
        <v>0.25</v>
      </c>
      <c r="J85" s="51">
        <f t="shared" si="8"/>
        <v>27.79999999999994</v>
      </c>
      <c r="K85" s="5"/>
      <c r="L85" s="5"/>
      <c r="M85" s="5"/>
      <c r="N85" s="5"/>
      <c r="O85" s="5"/>
      <c r="P85" s="5"/>
    </row>
    <row r="86" spans="1:16">
      <c r="A86" s="5"/>
      <c r="B86" s="4"/>
      <c r="C86" s="5"/>
      <c r="D86" s="5"/>
      <c r="E86" s="5"/>
      <c r="F86" s="5"/>
      <c r="G86" s="5"/>
      <c r="H86" s="51">
        <f t="shared" si="7"/>
        <v>82</v>
      </c>
      <c r="I86" s="51">
        <v>0.25</v>
      </c>
      <c r="J86" s="51">
        <f t="shared" si="8"/>
        <v>27.54999999999994</v>
      </c>
      <c r="K86" s="5"/>
      <c r="L86" s="5"/>
      <c r="M86" s="5"/>
      <c r="N86" s="5"/>
      <c r="O86" s="5"/>
      <c r="P86" s="5"/>
    </row>
    <row r="87" spans="1:16">
      <c r="A87" s="5"/>
      <c r="B87" s="4"/>
      <c r="C87" s="5"/>
      <c r="D87" s="5"/>
      <c r="E87" s="5"/>
      <c r="F87" s="5"/>
      <c r="G87" s="5"/>
      <c r="H87" s="51">
        <f t="shared" si="7"/>
        <v>83</v>
      </c>
      <c r="I87" s="51">
        <v>0.25</v>
      </c>
      <c r="J87" s="51">
        <f t="shared" si="8"/>
        <v>27.29999999999994</v>
      </c>
      <c r="K87" s="5"/>
      <c r="L87" s="5"/>
      <c r="M87" s="5"/>
      <c r="N87" s="5"/>
      <c r="O87" s="5"/>
      <c r="P87" s="5"/>
    </row>
    <row r="88" spans="1:16">
      <c r="A88" s="5"/>
      <c r="B88" s="4"/>
      <c r="C88" s="5"/>
      <c r="D88" s="5"/>
      <c r="E88" s="5"/>
      <c r="F88" s="5"/>
      <c r="G88" s="5"/>
      <c r="H88" s="51">
        <f t="shared" si="7"/>
        <v>84</v>
      </c>
      <c r="I88" s="51">
        <v>0.25</v>
      </c>
      <c r="J88" s="51">
        <f t="shared" si="8"/>
        <v>27.04999999999994</v>
      </c>
      <c r="K88" s="5"/>
      <c r="L88" s="5"/>
      <c r="M88" s="5"/>
      <c r="N88" s="5"/>
      <c r="O88" s="5"/>
      <c r="P88" s="5"/>
    </row>
    <row r="89" spans="1:16">
      <c r="A89" s="5"/>
      <c r="B89" s="4"/>
      <c r="C89" s="5"/>
      <c r="D89" s="5"/>
      <c r="E89" s="5"/>
      <c r="F89" s="5"/>
      <c r="G89" s="5"/>
      <c r="H89" s="51">
        <f t="shared" si="7"/>
        <v>85</v>
      </c>
      <c r="I89" s="51">
        <v>0.25</v>
      </c>
      <c r="J89" s="51">
        <f t="shared" si="8"/>
        <v>26.79999999999994</v>
      </c>
      <c r="K89" s="5"/>
      <c r="L89" s="5"/>
      <c r="M89" s="5"/>
      <c r="N89" s="5"/>
      <c r="O89" s="5"/>
      <c r="P89" s="5"/>
    </row>
    <row r="90" spans="1:16">
      <c r="A90" s="5"/>
      <c r="B90" s="4"/>
      <c r="C90" s="5"/>
      <c r="D90" s="5"/>
      <c r="E90" s="5"/>
      <c r="F90" s="5"/>
      <c r="G90" s="5"/>
      <c r="H90" s="51">
        <f t="shared" si="7"/>
        <v>86</v>
      </c>
      <c r="I90" s="51">
        <v>0.25</v>
      </c>
      <c r="J90" s="51">
        <f t="shared" si="8"/>
        <v>26.54999999999994</v>
      </c>
      <c r="K90" s="5"/>
      <c r="L90" s="5"/>
      <c r="M90" s="5"/>
      <c r="N90" s="5"/>
      <c r="O90" s="5"/>
      <c r="P90" s="5"/>
    </row>
    <row r="91" spans="1:16">
      <c r="A91" s="5"/>
      <c r="B91" s="4"/>
      <c r="C91" s="5"/>
      <c r="D91" s="5"/>
      <c r="E91" s="5"/>
      <c r="F91" s="5"/>
      <c r="G91" s="5"/>
      <c r="H91" s="51">
        <f t="shared" si="7"/>
        <v>87</v>
      </c>
      <c r="I91" s="51">
        <v>0.25</v>
      </c>
      <c r="J91" s="51">
        <f t="shared" si="8"/>
        <v>26.29999999999994</v>
      </c>
      <c r="K91" s="5"/>
      <c r="L91" s="5"/>
      <c r="M91" s="5"/>
      <c r="N91" s="5"/>
      <c r="O91" s="5"/>
      <c r="P91" s="5"/>
    </row>
    <row r="92" spans="1:16">
      <c r="A92" s="5"/>
      <c r="B92" s="4"/>
      <c r="C92" s="5"/>
      <c r="D92" s="5"/>
      <c r="E92" s="5"/>
      <c r="F92" s="5"/>
      <c r="G92" s="5"/>
      <c r="H92" s="51">
        <f t="shared" si="7"/>
        <v>88</v>
      </c>
      <c r="I92" s="51">
        <v>0.25</v>
      </c>
      <c r="J92" s="51">
        <f t="shared" si="8"/>
        <v>26.04999999999994</v>
      </c>
      <c r="K92" s="5"/>
      <c r="L92" s="5"/>
      <c r="M92" s="5"/>
      <c r="N92" s="5"/>
      <c r="O92" s="5"/>
      <c r="P92" s="5"/>
    </row>
    <row r="93" spans="1:16">
      <c r="A93" s="5"/>
      <c r="B93" s="4"/>
      <c r="C93" s="5"/>
      <c r="D93" s="5"/>
      <c r="E93" s="5"/>
      <c r="F93" s="5"/>
      <c r="G93" s="5"/>
      <c r="H93" s="51">
        <f t="shared" si="7"/>
        <v>89</v>
      </c>
      <c r="I93" s="51">
        <v>0.25</v>
      </c>
      <c r="J93" s="51">
        <f t="shared" si="8"/>
        <v>25.79999999999994</v>
      </c>
      <c r="K93" s="5"/>
      <c r="L93" s="5"/>
      <c r="M93" s="5"/>
      <c r="N93" s="5"/>
      <c r="O93" s="5"/>
      <c r="P93" s="5"/>
    </row>
    <row r="94" spans="1:16">
      <c r="A94" s="5"/>
      <c r="B94" s="4"/>
      <c r="C94" s="5"/>
      <c r="D94" s="5"/>
      <c r="E94" s="5"/>
      <c r="F94" s="5"/>
      <c r="G94" s="5"/>
      <c r="H94" s="51">
        <f t="shared" si="7"/>
        <v>90</v>
      </c>
      <c r="I94" s="51">
        <v>0.25</v>
      </c>
      <c r="J94" s="51">
        <f t="shared" si="8"/>
        <v>25.54999999999994</v>
      </c>
      <c r="K94" s="5"/>
      <c r="L94" s="5"/>
      <c r="M94" s="5"/>
      <c r="N94" s="5"/>
      <c r="O94" s="5"/>
      <c r="P94" s="5"/>
    </row>
    <row r="95" spans="1:16">
      <c r="A95" s="5"/>
      <c r="B95" s="4"/>
      <c r="C95" s="5"/>
      <c r="D95" s="5"/>
      <c r="E95" s="5"/>
      <c r="F95" s="5"/>
      <c r="G95" s="5"/>
      <c r="H95" s="51">
        <f t="shared" si="7"/>
        <v>91</v>
      </c>
      <c r="I95" s="51">
        <v>0.25</v>
      </c>
      <c r="J95" s="51">
        <f t="shared" si="8"/>
        <v>25.29999999999994</v>
      </c>
      <c r="K95" s="5"/>
      <c r="L95" s="5"/>
      <c r="M95" s="5"/>
      <c r="N95" s="5"/>
      <c r="O95" s="5"/>
      <c r="P95" s="5"/>
    </row>
    <row r="96" spans="1:16">
      <c r="A96" s="5"/>
      <c r="B96" s="4"/>
      <c r="C96" s="5"/>
      <c r="D96" s="5"/>
      <c r="E96" s="5"/>
      <c r="F96" s="5"/>
      <c r="G96" s="5"/>
      <c r="H96" s="51">
        <f t="shared" si="7"/>
        <v>92</v>
      </c>
      <c r="I96" s="51">
        <v>0.25</v>
      </c>
      <c r="J96" s="51">
        <f t="shared" si="8"/>
        <v>25.04999999999994</v>
      </c>
      <c r="K96" s="5"/>
      <c r="L96" s="5"/>
      <c r="M96" s="5"/>
      <c r="N96" s="5"/>
      <c r="O96" s="5"/>
      <c r="P96" s="5"/>
    </row>
    <row r="97" spans="1:16">
      <c r="A97" s="5"/>
      <c r="B97" s="4"/>
      <c r="C97" s="5"/>
      <c r="D97" s="5"/>
      <c r="E97" s="5"/>
      <c r="F97" s="5"/>
      <c r="G97" s="5"/>
      <c r="H97" s="51">
        <f t="shared" si="7"/>
        <v>93</v>
      </c>
      <c r="I97" s="51">
        <v>0.25</v>
      </c>
      <c r="J97" s="51">
        <f t="shared" si="8"/>
        <v>24.79999999999994</v>
      </c>
      <c r="K97" s="5"/>
      <c r="L97" s="5"/>
      <c r="M97" s="5"/>
      <c r="N97" s="5"/>
      <c r="O97" s="5"/>
      <c r="P97" s="5"/>
    </row>
    <row r="98" spans="1:16">
      <c r="A98" s="5"/>
      <c r="B98" s="4"/>
      <c r="C98" s="5"/>
      <c r="D98" s="5"/>
      <c r="E98" s="5"/>
      <c r="F98" s="5"/>
      <c r="G98" s="5"/>
      <c r="H98" s="51">
        <f t="shared" si="7"/>
        <v>94</v>
      </c>
      <c r="I98" s="51">
        <v>0.25</v>
      </c>
      <c r="J98" s="51">
        <f t="shared" si="8"/>
        <v>24.54999999999994</v>
      </c>
      <c r="K98" s="5"/>
      <c r="L98" s="5"/>
      <c r="M98" s="5"/>
      <c r="N98" s="5"/>
      <c r="O98" s="5"/>
      <c r="P98" s="5"/>
    </row>
    <row r="99" spans="1:16">
      <c r="A99" s="5"/>
      <c r="B99" s="4"/>
      <c r="C99" s="5"/>
      <c r="D99" s="5"/>
      <c r="E99" s="5"/>
      <c r="F99" s="5"/>
      <c r="G99" s="5"/>
      <c r="H99" s="51">
        <f t="shared" si="7"/>
        <v>95</v>
      </c>
      <c r="I99" s="51">
        <v>0.25</v>
      </c>
      <c r="J99" s="51">
        <f t="shared" si="8"/>
        <v>24.29999999999994</v>
      </c>
      <c r="K99" s="5"/>
      <c r="L99" s="5"/>
      <c r="M99" s="5"/>
      <c r="N99" s="5"/>
      <c r="O99" s="5"/>
      <c r="P99" s="5"/>
    </row>
    <row r="100" spans="1:16">
      <c r="A100" s="5"/>
      <c r="B100" s="4"/>
      <c r="C100" s="5"/>
      <c r="D100" s="5"/>
      <c r="E100" s="5"/>
      <c r="F100" s="5"/>
      <c r="G100" s="5"/>
      <c r="H100" s="51">
        <f t="shared" si="7"/>
        <v>96</v>
      </c>
      <c r="I100" s="51">
        <v>0.25</v>
      </c>
      <c r="J100" s="51">
        <f t="shared" si="8"/>
        <v>24.04999999999994</v>
      </c>
      <c r="K100" s="5"/>
      <c r="L100" s="5"/>
      <c r="M100" s="5"/>
      <c r="N100" s="5"/>
      <c r="O100" s="5"/>
      <c r="P100" s="5"/>
    </row>
    <row r="101" spans="1:16">
      <c r="A101" s="5"/>
      <c r="B101" s="4"/>
      <c r="C101" s="5"/>
      <c r="D101" s="5"/>
      <c r="E101" s="5"/>
      <c r="F101" s="5"/>
      <c r="G101" s="5"/>
      <c r="H101" s="51">
        <f t="shared" si="7"/>
        <v>97</v>
      </c>
      <c r="I101" s="51">
        <v>0.25</v>
      </c>
      <c r="J101" s="51">
        <f t="shared" si="8"/>
        <v>23.79999999999994</v>
      </c>
      <c r="K101" s="5"/>
      <c r="L101" s="5"/>
      <c r="M101" s="5"/>
      <c r="N101" s="5"/>
      <c r="O101" s="5"/>
      <c r="P101" s="5"/>
    </row>
    <row r="102" spans="1:16">
      <c r="A102" s="5"/>
      <c r="B102" s="4"/>
      <c r="C102" s="5"/>
      <c r="D102" s="5"/>
      <c r="E102" s="5"/>
      <c r="F102" s="5"/>
      <c r="G102" s="5"/>
      <c r="H102" s="51">
        <f t="shared" si="7"/>
        <v>98</v>
      </c>
      <c r="I102" s="51">
        <v>0.25</v>
      </c>
      <c r="J102" s="51">
        <f t="shared" si="8"/>
        <v>23.54999999999994</v>
      </c>
      <c r="K102" s="5"/>
      <c r="L102" s="5"/>
      <c r="M102" s="5"/>
      <c r="N102" s="5"/>
      <c r="O102" s="5"/>
      <c r="P102" s="5"/>
    </row>
    <row r="103" spans="1:16">
      <c r="A103" s="5"/>
      <c r="B103" s="4"/>
      <c r="C103" s="5"/>
      <c r="D103" s="5"/>
      <c r="E103" s="5"/>
      <c r="F103" s="5"/>
      <c r="G103" s="5"/>
      <c r="H103" s="51">
        <f t="shared" ref="H103:H133" si="9">H102+1</f>
        <v>99</v>
      </c>
      <c r="I103" s="51">
        <v>0.25</v>
      </c>
      <c r="J103" s="51">
        <f t="shared" ref="J103:J133" si="10">J102-I103</f>
        <v>23.29999999999994</v>
      </c>
      <c r="K103" s="5"/>
      <c r="L103" s="5"/>
      <c r="M103" s="5"/>
      <c r="N103" s="5"/>
      <c r="O103" s="5"/>
      <c r="P103" s="5"/>
    </row>
    <row r="104" spans="1:16">
      <c r="A104" s="5"/>
      <c r="B104" s="4"/>
      <c r="C104" s="5"/>
      <c r="D104" s="5"/>
      <c r="E104" s="5"/>
      <c r="F104" s="5"/>
      <c r="G104" s="5"/>
      <c r="H104" s="51">
        <f t="shared" si="9"/>
        <v>100</v>
      </c>
      <c r="I104" s="51">
        <v>0.25</v>
      </c>
      <c r="J104" s="51">
        <f t="shared" si="10"/>
        <v>23.04999999999994</v>
      </c>
      <c r="K104" s="5"/>
      <c r="L104" s="5"/>
      <c r="M104" s="5"/>
      <c r="N104" s="5"/>
      <c r="O104" s="5"/>
      <c r="P104" s="5"/>
    </row>
    <row r="105" spans="1:16">
      <c r="A105" s="5"/>
      <c r="B105" s="4"/>
      <c r="C105" s="5"/>
      <c r="D105" s="5"/>
      <c r="E105" s="5"/>
      <c r="F105" s="5"/>
      <c r="G105" s="5"/>
      <c r="H105" s="51">
        <f t="shared" si="9"/>
        <v>101</v>
      </c>
      <c r="I105" s="51">
        <v>0.25</v>
      </c>
      <c r="J105" s="51">
        <f t="shared" si="10"/>
        <v>22.79999999999994</v>
      </c>
      <c r="K105" s="5"/>
      <c r="L105" s="5"/>
      <c r="M105" s="5"/>
      <c r="N105" s="5"/>
      <c r="O105" s="5"/>
      <c r="P105" s="5"/>
    </row>
    <row r="106" spans="1:16">
      <c r="A106" s="5"/>
      <c r="B106" s="4"/>
      <c r="C106" s="5"/>
      <c r="D106" s="5"/>
      <c r="E106" s="5"/>
      <c r="F106" s="5"/>
      <c r="G106" s="5"/>
      <c r="H106" s="51">
        <f t="shared" si="9"/>
        <v>102</v>
      </c>
      <c r="I106" s="51">
        <v>0.25</v>
      </c>
      <c r="J106" s="51">
        <f t="shared" si="10"/>
        <v>22.54999999999994</v>
      </c>
      <c r="K106" s="5"/>
      <c r="L106" s="5"/>
      <c r="M106" s="5"/>
      <c r="N106" s="5"/>
      <c r="O106" s="5"/>
      <c r="P106" s="5"/>
    </row>
    <row r="107" spans="1:16">
      <c r="A107" s="5"/>
      <c r="B107" s="4"/>
      <c r="C107" s="5"/>
      <c r="D107" s="5"/>
      <c r="E107" s="5"/>
      <c r="F107" s="5"/>
      <c r="G107" s="5"/>
      <c r="H107" s="51">
        <f t="shared" si="9"/>
        <v>103</v>
      </c>
      <c r="I107" s="51">
        <v>0.25</v>
      </c>
      <c r="J107" s="51">
        <f t="shared" si="10"/>
        <v>22.29999999999994</v>
      </c>
      <c r="K107" s="5"/>
      <c r="L107" s="5"/>
      <c r="M107" s="5"/>
      <c r="N107" s="5"/>
      <c r="O107" s="5"/>
      <c r="P107" s="5"/>
    </row>
    <row r="108" spans="1:16">
      <c r="A108" s="5"/>
      <c r="B108" s="4"/>
      <c r="C108" s="5"/>
      <c r="D108" s="5"/>
      <c r="E108" s="5"/>
      <c r="F108" s="5"/>
      <c r="G108" s="5"/>
      <c r="H108" s="51">
        <f t="shared" si="9"/>
        <v>104</v>
      </c>
      <c r="I108" s="51">
        <v>0.25</v>
      </c>
      <c r="J108" s="51">
        <f t="shared" si="10"/>
        <v>22.04999999999994</v>
      </c>
      <c r="K108" s="5"/>
      <c r="L108" s="5"/>
      <c r="M108" s="5"/>
      <c r="N108" s="5"/>
      <c r="O108" s="5"/>
      <c r="P108" s="5"/>
    </row>
    <row r="109" spans="1:16">
      <c r="A109" s="5"/>
      <c r="B109" s="4"/>
      <c r="C109" s="5"/>
      <c r="D109" s="5"/>
      <c r="E109" s="5"/>
      <c r="F109" s="5"/>
      <c r="G109" s="5"/>
      <c r="H109" s="51">
        <f t="shared" si="9"/>
        <v>105</v>
      </c>
      <c r="I109" s="51">
        <v>0.25</v>
      </c>
      <c r="J109" s="51">
        <f t="shared" si="10"/>
        <v>21.79999999999994</v>
      </c>
      <c r="K109" s="5"/>
      <c r="L109" s="5"/>
      <c r="M109" s="5"/>
      <c r="N109" s="5"/>
      <c r="O109" s="5"/>
      <c r="P109" s="5"/>
    </row>
    <row r="110" spans="1:16">
      <c r="A110" s="5"/>
      <c r="B110" s="4"/>
      <c r="C110" s="5"/>
      <c r="D110" s="5"/>
      <c r="E110" s="5"/>
      <c r="F110" s="5"/>
      <c r="G110" s="5"/>
      <c r="H110" s="51">
        <f t="shared" si="9"/>
        <v>106</v>
      </c>
      <c r="I110" s="51">
        <v>0.25</v>
      </c>
      <c r="J110" s="51">
        <f t="shared" si="10"/>
        <v>21.54999999999994</v>
      </c>
      <c r="K110" s="5"/>
      <c r="L110" s="5"/>
      <c r="M110" s="5"/>
      <c r="N110" s="5"/>
      <c r="O110" s="5"/>
      <c r="P110" s="5"/>
    </row>
    <row r="111" spans="1:16">
      <c r="A111" s="5"/>
      <c r="B111" s="4"/>
      <c r="C111" s="5"/>
      <c r="D111" s="5"/>
      <c r="E111" s="5"/>
      <c r="F111" s="5"/>
      <c r="G111" s="5"/>
      <c r="H111" s="51">
        <f t="shared" si="9"/>
        <v>107</v>
      </c>
      <c r="I111" s="51">
        <v>0.25</v>
      </c>
      <c r="J111" s="51">
        <f t="shared" si="10"/>
        <v>21.29999999999994</v>
      </c>
      <c r="K111" s="5"/>
      <c r="L111" s="5"/>
      <c r="M111" s="5"/>
      <c r="N111" s="5"/>
      <c r="O111" s="5"/>
      <c r="P111" s="5"/>
    </row>
    <row r="112" spans="1:16">
      <c r="A112" s="5"/>
      <c r="B112" s="4"/>
      <c r="C112" s="5"/>
      <c r="D112" s="5"/>
      <c r="E112" s="5"/>
      <c r="F112" s="5"/>
      <c r="G112" s="5"/>
      <c r="H112" s="51">
        <f t="shared" si="9"/>
        <v>108</v>
      </c>
      <c r="I112" s="51">
        <v>0.25</v>
      </c>
      <c r="J112" s="51">
        <f t="shared" si="10"/>
        <v>21.04999999999994</v>
      </c>
      <c r="K112" s="5"/>
      <c r="L112" s="5"/>
      <c r="M112" s="5"/>
      <c r="N112" s="5"/>
      <c r="O112" s="5"/>
      <c r="P112" s="5"/>
    </row>
    <row r="113" spans="1:16">
      <c r="A113" s="5"/>
      <c r="B113" s="4"/>
      <c r="C113" s="5"/>
      <c r="D113" s="5"/>
      <c r="E113" s="5"/>
      <c r="F113" s="5"/>
      <c r="G113" s="5"/>
      <c r="H113" s="51">
        <f t="shared" si="9"/>
        <v>109</v>
      </c>
      <c r="I113" s="51">
        <v>0.25</v>
      </c>
      <c r="J113" s="51">
        <f t="shared" si="10"/>
        <v>20.79999999999994</v>
      </c>
      <c r="K113" s="5"/>
      <c r="L113" s="5"/>
      <c r="M113" s="5"/>
      <c r="N113" s="5"/>
      <c r="O113" s="5"/>
      <c r="P113" s="5"/>
    </row>
    <row r="114" spans="1:16">
      <c r="A114" s="5"/>
      <c r="B114" s="4"/>
      <c r="C114" s="5"/>
      <c r="D114" s="5"/>
      <c r="E114" s="5"/>
      <c r="F114" s="5"/>
      <c r="G114" s="5"/>
      <c r="H114" s="51">
        <f t="shared" si="9"/>
        <v>110</v>
      </c>
      <c r="I114" s="51">
        <v>0.25</v>
      </c>
      <c r="J114" s="51">
        <f t="shared" si="10"/>
        <v>20.54999999999994</v>
      </c>
      <c r="K114" s="5"/>
      <c r="L114" s="5"/>
      <c r="M114" s="5"/>
      <c r="N114" s="5"/>
      <c r="O114" s="5"/>
      <c r="P114" s="5"/>
    </row>
    <row r="115" spans="1:16">
      <c r="A115" s="5"/>
      <c r="B115" s="4"/>
      <c r="C115" s="5"/>
      <c r="D115" s="5"/>
      <c r="E115" s="5"/>
      <c r="F115" s="5"/>
      <c r="G115" s="5"/>
      <c r="H115" s="51">
        <f t="shared" si="9"/>
        <v>111</v>
      </c>
      <c r="I115" s="51">
        <v>0.25</v>
      </c>
      <c r="J115" s="51">
        <f t="shared" si="10"/>
        <v>20.29999999999994</v>
      </c>
      <c r="K115" s="5"/>
      <c r="L115" s="5"/>
      <c r="M115" s="5"/>
      <c r="N115" s="5"/>
      <c r="O115" s="5"/>
      <c r="P115" s="5"/>
    </row>
    <row r="116" spans="1:16">
      <c r="A116" s="5"/>
      <c r="B116" s="4"/>
      <c r="C116" s="5"/>
      <c r="D116" s="5"/>
      <c r="E116" s="5"/>
      <c r="F116" s="5"/>
      <c r="G116" s="5"/>
      <c r="H116" s="51">
        <f t="shared" si="9"/>
        <v>112</v>
      </c>
      <c r="I116" s="51">
        <v>0.25</v>
      </c>
      <c r="J116" s="51">
        <f t="shared" si="10"/>
        <v>20.04999999999994</v>
      </c>
      <c r="K116" s="5"/>
      <c r="L116" s="5"/>
      <c r="M116" s="5"/>
      <c r="N116" s="5"/>
      <c r="O116" s="5"/>
      <c r="P116" s="5"/>
    </row>
    <row r="117" spans="1:16">
      <c r="A117" s="5"/>
      <c r="B117" s="4"/>
      <c r="C117" s="5"/>
      <c r="D117" s="5"/>
      <c r="E117" s="5"/>
      <c r="F117" s="5"/>
      <c r="G117" s="5"/>
      <c r="H117" s="51">
        <f t="shared" si="9"/>
        <v>113</v>
      </c>
      <c r="I117" s="51">
        <v>0.25</v>
      </c>
      <c r="J117" s="51">
        <f t="shared" si="10"/>
        <v>19.79999999999994</v>
      </c>
      <c r="K117" s="5"/>
      <c r="L117" s="5"/>
      <c r="M117" s="5"/>
      <c r="N117" s="5"/>
      <c r="O117" s="5"/>
      <c r="P117" s="5"/>
    </row>
    <row r="118" spans="1:16">
      <c r="A118" s="5"/>
      <c r="B118" s="4"/>
      <c r="C118" s="5"/>
      <c r="D118" s="5"/>
      <c r="E118" s="5"/>
      <c r="F118" s="5"/>
      <c r="G118" s="5"/>
      <c r="H118" s="51">
        <f t="shared" si="9"/>
        <v>114</v>
      </c>
      <c r="I118" s="51">
        <v>0.25</v>
      </c>
      <c r="J118" s="51">
        <f t="shared" si="10"/>
        <v>19.54999999999994</v>
      </c>
      <c r="K118" s="5"/>
      <c r="L118" s="5"/>
      <c r="M118" s="5"/>
      <c r="N118" s="5"/>
      <c r="O118" s="5"/>
      <c r="P118" s="5"/>
    </row>
    <row r="119" spans="1:16">
      <c r="A119" s="5"/>
      <c r="B119" s="4"/>
      <c r="C119" s="5"/>
      <c r="D119" s="5"/>
      <c r="E119" s="5"/>
      <c r="F119" s="5"/>
      <c r="G119" s="5"/>
      <c r="H119" s="51">
        <f t="shared" si="9"/>
        <v>115</v>
      </c>
      <c r="I119" s="51">
        <v>0.19</v>
      </c>
      <c r="J119" s="51">
        <f t="shared" si="10"/>
        <v>19.359999999999939</v>
      </c>
      <c r="K119" s="5"/>
      <c r="L119" s="5"/>
      <c r="M119" s="5"/>
      <c r="N119" s="5"/>
      <c r="O119" s="5"/>
      <c r="P119" s="5"/>
    </row>
    <row r="120" spans="1:16">
      <c r="A120" s="5"/>
      <c r="B120" s="4"/>
      <c r="C120" s="5"/>
      <c r="D120" s="5"/>
      <c r="E120" s="5"/>
      <c r="F120" s="5"/>
      <c r="G120" s="5"/>
      <c r="H120" s="51">
        <f t="shared" si="9"/>
        <v>116</v>
      </c>
      <c r="I120" s="51">
        <v>0.19</v>
      </c>
      <c r="J120" s="51">
        <f t="shared" si="10"/>
        <v>19.169999999999938</v>
      </c>
      <c r="K120" s="5"/>
      <c r="L120" s="5"/>
      <c r="M120" s="5"/>
      <c r="N120" s="5"/>
      <c r="O120" s="5"/>
      <c r="P120" s="5"/>
    </row>
    <row r="121" spans="1:16">
      <c r="A121" s="5"/>
      <c r="B121" s="4"/>
      <c r="C121" s="5"/>
      <c r="D121" s="5"/>
      <c r="E121" s="5"/>
      <c r="F121" s="5"/>
      <c r="G121" s="5"/>
      <c r="H121" s="51">
        <f t="shared" si="9"/>
        <v>117</v>
      </c>
      <c r="I121" s="51">
        <v>0.19</v>
      </c>
      <c r="J121" s="51">
        <f t="shared" si="10"/>
        <v>18.979999999999936</v>
      </c>
      <c r="K121" s="5"/>
      <c r="L121" s="5"/>
      <c r="M121" s="5"/>
      <c r="N121" s="5"/>
      <c r="O121" s="5"/>
      <c r="P121" s="5"/>
    </row>
    <row r="122" spans="1:16">
      <c r="A122" s="5"/>
      <c r="B122" s="4"/>
      <c r="C122" s="5"/>
      <c r="D122" s="5"/>
      <c r="E122" s="5"/>
      <c r="F122" s="5"/>
      <c r="G122" s="5"/>
      <c r="H122" s="51">
        <f t="shared" si="9"/>
        <v>118</v>
      </c>
      <c r="I122" s="51">
        <v>0.19</v>
      </c>
      <c r="J122" s="51">
        <f t="shared" si="10"/>
        <v>18.789999999999935</v>
      </c>
      <c r="K122" s="5"/>
      <c r="L122" s="5"/>
      <c r="M122" s="5"/>
      <c r="N122" s="5"/>
      <c r="O122" s="5"/>
      <c r="P122" s="5"/>
    </row>
    <row r="123" spans="1:16">
      <c r="A123" s="5"/>
      <c r="B123" s="4"/>
      <c r="C123" s="5"/>
      <c r="D123" s="5"/>
      <c r="E123" s="5"/>
      <c r="F123" s="5"/>
      <c r="G123" s="5"/>
      <c r="H123" s="51">
        <f t="shared" si="9"/>
        <v>119</v>
      </c>
      <c r="I123" s="51">
        <v>0.19</v>
      </c>
      <c r="J123" s="51">
        <f t="shared" si="10"/>
        <v>18.599999999999934</v>
      </c>
      <c r="K123" s="5"/>
      <c r="L123" s="5"/>
      <c r="M123" s="5"/>
      <c r="N123" s="5"/>
      <c r="O123" s="5"/>
      <c r="P123" s="5"/>
    </row>
    <row r="124" spans="1:16">
      <c r="A124" s="5"/>
      <c r="B124" s="4"/>
      <c r="C124" s="5"/>
      <c r="D124" s="5"/>
      <c r="E124" s="5"/>
      <c r="F124" s="5"/>
      <c r="G124" s="5"/>
      <c r="H124" s="51">
        <f t="shared" si="9"/>
        <v>120</v>
      </c>
      <c r="I124" s="51">
        <v>0.19</v>
      </c>
      <c r="J124" s="51">
        <f t="shared" si="10"/>
        <v>18.409999999999933</v>
      </c>
      <c r="K124" s="5"/>
      <c r="L124" s="5"/>
      <c r="M124" s="5"/>
      <c r="N124" s="5"/>
      <c r="O124" s="5"/>
      <c r="P124" s="5"/>
    </row>
    <row r="125" spans="1:16">
      <c r="A125" s="5"/>
      <c r="B125" s="4"/>
      <c r="C125" s="5"/>
      <c r="D125" s="5"/>
      <c r="E125" s="5"/>
      <c r="F125" s="5"/>
      <c r="G125" s="5"/>
      <c r="H125" s="51">
        <f t="shared" si="9"/>
        <v>121</v>
      </c>
      <c r="I125" s="51">
        <v>0.19</v>
      </c>
      <c r="J125" s="51">
        <f t="shared" si="10"/>
        <v>18.219999999999931</v>
      </c>
      <c r="K125" s="5"/>
      <c r="L125" s="5"/>
      <c r="M125" s="5"/>
      <c r="N125" s="5"/>
      <c r="O125" s="5"/>
      <c r="P125" s="5"/>
    </row>
    <row r="126" spans="1:16">
      <c r="A126" s="5"/>
      <c r="B126" s="4"/>
      <c r="C126" s="5"/>
      <c r="D126" s="5"/>
      <c r="E126" s="5"/>
      <c r="F126" s="5"/>
      <c r="G126" s="5"/>
      <c r="H126" s="51">
        <f t="shared" si="9"/>
        <v>122</v>
      </c>
      <c r="I126" s="51">
        <v>0.19</v>
      </c>
      <c r="J126" s="51">
        <f t="shared" si="10"/>
        <v>18.02999999999993</v>
      </c>
      <c r="K126" s="5"/>
      <c r="L126" s="5"/>
      <c r="M126" s="5"/>
      <c r="N126" s="5"/>
      <c r="O126" s="5"/>
      <c r="P126" s="5"/>
    </row>
    <row r="127" spans="1:16">
      <c r="A127" s="5"/>
      <c r="B127" s="4"/>
      <c r="C127" s="5"/>
      <c r="D127" s="5"/>
      <c r="E127" s="5"/>
      <c r="F127" s="5"/>
      <c r="G127" s="5"/>
      <c r="H127" s="51">
        <f t="shared" si="9"/>
        <v>123</v>
      </c>
      <c r="I127" s="51">
        <v>0.19</v>
      </c>
      <c r="J127" s="51">
        <f t="shared" si="10"/>
        <v>17.839999999999929</v>
      </c>
      <c r="K127" s="5"/>
      <c r="L127" s="5"/>
      <c r="M127" s="5"/>
      <c r="N127" s="5"/>
      <c r="O127" s="5"/>
      <c r="P127" s="5"/>
    </row>
    <row r="128" spans="1:16">
      <c r="A128" s="5"/>
      <c r="B128" s="4"/>
      <c r="C128" s="5"/>
      <c r="D128" s="5"/>
      <c r="E128" s="5"/>
      <c r="F128" s="5"/>
      <c r="G128" s="5"/>
      <c r="H128" s="51">
        <f t="shared" si="9"/>
        <v>124</v>
      </c>
      <c r="I128" s="51">
        <v>0.19</v>
      </c>
      <c r="J128" s="51">
        <f t="shared" si="10"/>
        <v>17.649999999999928</v>
      </c>
      <c r="K128" s="5"/>
      <c r="L128" s="5"/>
      <c r="M128" s="5"/>
      <c r="N128" s="5"/>
      <c r="O128" s="5"/>
      <c r="P128" s="5"/>
    </row>
    <row r="129" spans="1:16">
      <c r="A129" s="5"/>
      <c r="B129" s="4"/>
      <c r="C129" s="5"/>
      <c r="D129" s="5"/>
      <c r="E129" s="5"/>
      <c r="F129" s="5"/>
      <c r="G129" s="5"/>
      <c r="H129" s="51">
        <f t="shared" si="9"/>
        <v>125</v>
      </c>
      <c r="I129" s="51">
        <v>0.19</v>
      </c>
      <c r="J129" s="51">
        <f t="shared" si="10"/>
        <v>17.459999999999926</v>
      </c>
      <c r="K129" s="5"/>
      <c r="L129" s="5"/>
      <c r="M129" s="5"/>
      <c r="N129" s="5"/>
      <c r="O129" s="5"/>
      <c r="P129" s="5"/>
    </row>
    <row r="130" spans="1:16">
      <c r="A130" s="5"/>
      <c r="B130" s="4"/>
      <c r="C130" s="5"/>
      <c r="D130" s="5"/>
      <c r="E130" s="5"/>
      <c r="F130" s="5"/>
      <c r="G130" s="5"/>
      <c r="H130" s="51">
        <f t="shared" si="9"/>
        <v>126</v>
      </c>
      <c r="I130" s="51">
        <v>0.19</v>
      </c>
      <c r="J130" s="51">
        <f t="shared" si="10"/>
        <v>17.269999999999925</v>
      </c>
      <c r="K130" s="5"/>
      <c r="L130" s="5"/>
      <c r="M130" s="5"/>
      <c r="N130" s="5"/>
      <c r="O130" s="5"/>
      <c r="P130" s="5"/>
    </row>
    <row r="131" spans="1:16">
      <c r="A131" s="5"/>
      <c r="B131" s="4"/>
      <c r="C131" s="5"/>
      <c r="D131" s="5"/>
      <c r="E131" s="5"/>
      <c r="F131" s="5"/>
      <c r="G131" s="5"/>
      <c r="H131" s="51">
        <f t="shared" si="9"/>
        <v>127</v>
      </c>
      <c r="I131" s="51">
        <v>0.19</v>
      </c>
      <c r="J131" s="51">
        <f t="shared" si="10"/>
        <v>17.079999999999924</v>
      </c>
      <c r="K131" s="5"/>
      <c r="L131" s="5"/>
      <c r="M131" s="5"/>
      <c r="N131" s="5"/>
      <c r="O131" s="5"/>
      <c r="P131" s="5"/>
    </row>
    <row r="132" spans="1:16">
      <c r="A132" s="5"/>
      <c r="B132" s="4"/>
      <c r="C132" s="5"/>
      <c r="D132" s="5"/>
      <c r="E132" s="5"/>
      <c r="F132" s="5"/>
      <c r="G132" s="5"/>
      <c r="H132" s="51">
        <f t="shared" si="9"/>
        <v>128</v>
      </c>
      <c r="I132" s="51">
        <v>0.19</v>
      </c>
      <c r="J132" s="51">
        <f t="shared" si="10"/>
        <v>16.889999999999922</v>
      </c>
      <c r="K132" s="5"/>
      <c r="L132" s="5"/>
      <c r="M132" s="5"/>
      <c r="N132" s="5"/>
      <c r="O132" s="5"/>
      <c r="P132" s="5"/>
    </row>
    <row r="133" spans="1:16">
      <c r="A133" s="5"/>
      <c r="B133" s="4"/>
      <c r="C133" s="5"/>
      <c r="D133" s="5"/>
      <c r="E133" s="5"/>
      <c r="F133" s="5"/>
      <c r="G133" s="5"/>
      <c r="H133" s="51">
        <f t="shared" si="9"/>
        <v>129</v>
      </c>
      <c r="I133" s="51">
        <v>0.19</v>
      </c>
      <c r="J133" s="51">
        <f t="shared" si="10"/>
        <v>16.699999999999921</v>
      </c>
      <c r="K133" s="5"/>
      <c r="L133" s="5"/>
      <c r="M133" s="5"/>
      <c r="N133" s="5"/>
      <c r="O133" s="5"/>
      <c r="P133" s="5"/>
    </row>
    <row r="134" spans="1:16" ht="63.75">
      <c r="A134" s="5"/>
      <c r="B134" s="4"/>
      <c r="C134" s="5"/>
      <c r="D134" s="5"/>
      <c r="E134" s="5"/>
      <c r="F134" s="5"/>
      <c r="G134" s="5"/>
      <c r="H134" s="66" t="s">
        <v>98</v>
      </c>
      <c r="I134" s="51"/>
      <c r="J134" s="51"/>
      <c r="K134" s="5"/>
      <c r="L134" s="5"/>
      <c r="M134" s="5"/>
      <c r="N134" s="5"/>
      <c r="O134" s="5"/>
      <c r="P134" s="5"/>
    </row>
    <row r="135" spans="1:16">
      <c r="A135" s="5"/>
      <c r="B135" s="4"/>
      <c r="C135" s="5"/>
      <c r="D135" s="5"/>
      <c r="E135" s="5"/>
      <c r="F135" s="5"/>
      <c r="G135" s="5"/>
      <c r="H135" s="51"/>
      <c r="I135" s="51"/>
      <c r="J135" s="51"/>
      <c r="K135" s="5"/>
      <c r="L135" s="5"/>
      <c r="M135" s="5"/>
      <c r="N135" s="5"/>
      <c r="O135" s="5"/>
      <c r="P135" s="5"/>
    </row>
    <row r="136" spans="1:16">
      <c r="A136" s="5"/>
      <c r="B136" s="4"/>
      <c r="C136" s="5"/>
      <c r="D136" s="5"/>
      <c r="E136" s="5"/>
      <c r="F136" s="5"/>
      <c r="G136" s="5"/>
      <c r="H136" s="51" t="s">
        <v>83</v>
      </c>
      <c r="I136" s="51"/>
      <c r="J136" s="54">
        <f>VLOOKUP(B12,H5:J133,3,0)/100*B9</f>
        <v>1840.4873999999986</v>
      </c>
      <c r="K136" s="5"/>
      <c r="L136" s="5"/>
      <c r="M136" s="5"/>
      <c r="N136" s="5"/>
      <c r="O136" s="5"/>
      <c r="P136" s="5"/>
    </row>
    <row r="137" spans="1:16">
      <c r="A137" s="5"/>
      <c r="B137" s="4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</row>
    <row r="138" spans="1:16">
      <c r="A138" s="5"/>
      <c r="B138" s="4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</row>
    <row r="139" spans="1:16">
      <c r="A139" s="5"/>
      <c r="B139" s="4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</row>
    <row r="140" spans="1:16">
      <c r="A140" s="5"/>
      <c r="B140" s="4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</row>
    <row r="141" spans="1:16">
      <c r="A141" s="5"/>
      <c r="B141" s="4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</row>
    <row r="142" spans="1:16">
      <c r="A142" s="5"/>
      <c r="B142" s="4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16">
      <c r="A143" s="5"/>
      <c r="B143" s="4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</row>
    <row r="144" spans="1:16">
      <c r="A144" s="5"/>
      <c r="B144" s="4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</row>
    <row r="145" spans="1:16">
      <c r="A145" s="5"/>
      <c r="B145" s="4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</row>
    <row r="146" spans="1:16">
      <c r="A146" s="5"/>
      <c r="B146" s="4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</row>
    <row r="147" spans="1:16">
      <c r="A147" s="5"/>
      <c r="B147" s="4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</row>
    <row r="148" spans="1:16">
      <c r="A148" s="5"/>
      <c r="B148" s="4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</row>
    <row r="149" spans="1:16">
      <c r="A149" s="5"/>
      <c r="B149" s="4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</row>
    <row r="150" spans="1:16">
      <c r="A150" s="5"/>
      <c r="B150" s="4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</row>
    <row r="151" spans="1:16">
      <c r="A151" s="5"/>
      <c r="B151" s="4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</row>
    <row r="152" spans="1:16">
      <c r="A152" s="5"/>
      <c r="B152" s="4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</row>
    <row r="153" spans="1:16">
      <c r="A153" s="5"/>
      <c r="B153" s="4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</row>
    <row r="154" spans="1:16">
      <c r="A154" s="5"/>
      <c r="B154" s="4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</row>
    <row r="155" spans="1:16">
      <c r="A155" s="5"/>
      <c r="B155" s="4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</row>
    <row r="156" spans="1:16">
      <c r="A156" s="5"/>
      <c r="B156" s="4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</row>
    <row r="157" spans="1:16">
      <c r="A157" s="5"/>
      <c r="B157" s="4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</row>
    <row r="158" spans="1:16">
      <c r="A158" s="5"/>
      <c r="B158" s="4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</row>
    <row r="159" spans="1:16">
      <c r="A159" s="5"/>
      <c r="B159" s="4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</row>
    <row r="160" spans="1:16">
      <c r="F160" s="1"/>
      <c r="J160" s="1"/>
    </row>
    <row r="161" spans="6:10">
      <c r="F161" s="1"/>
      <c r="J161" s="1"/>
    </row>
    <row r="162" spans="6:10">
      <c r="F162" s="1"/>
      <c r="J162" s="1"/>
    </row>
    <row r="163" spans="6:10">
      <c r="F163" s="1"/>
      <c r="J163" s="1"/>
    </row>
    <row r="164" spans="6:10">
      <c r="F164" s="1"/>
      <c r="J164" s="1"/>
    </row>
    <row r="165" spans="6:10">
      <c r="F165" s="1"/>
      <c r="J165" s="1"/>
    </row>
    <row r="166" spans="6:10">
      <c r="F166" s="1"/>
      <c r="J166" s="1"/>
    </row>
    <row r="167" spans="6:10">
      <c r="F167" s="1"/>
      <c r="J167" s="1"/>
    </row>
    <row r="168" spans="6:10">
      <c r="J168" s="1"/>
    </row>
    <row r="169" spans="6:10">
      <c r="J169" s="1"/>
    </row>
    <row r="170" spans="6:10">
      <c r="J170" s="1"/>
    </row>
    <row r="171" spans="6:10">
      <c r="J171" s="1"/>
    </row>
    <row r="172" spans="6:10">
      <c r="J172" s="1"/>
    </row>
    <row r="173" spans="6:10">
      <c r="J173" s="1"/>
    </row>
    <row r="174" spans="6:10">
      <c r="J174" s="1"/>
    </row>
    <row r="175" spans="6:10">
      <c r="J175" s="1"/>
    </row>
    <row r="176" spans="6:10">
      <c r="J176" s="1"/>
    </row>
    <row r="177" spans="10:10">
      <c r="J177" s="1"/>
    </row>
    <row r="178" spans="10:10">
      <c r="J178" s="1"/>
    </row>
    <row r="179" spans="10:10">
      <c r="J179" s="1"/>
    </row>
    <row r="180" spans="10:10">
      <c r="J180" s="1"/>
    </row>
    <row r="181" spans="10:10">
      <c r="J181" s="1"/>
    </row>
    <row r="182" spans="10:10">
      <c r="J182" s="1"/>
    </row>
    <row r="183" spans="10:10">
      <c r="J183" s="1"/>
    </row>
    <row r="184" spans="10:10">
      <c r="J184" s="1"/>
    </row>
    <row r="185" spans="10:10">
      <c r="J185" s="1"/>
    </row>
    <row r="186" spans="10:10">
      <c r="J186" s="1"/>
    </row>
    <row r="187" spans="10:10">
      <c r="J187" s="1"/>
    </row>
    <row r="188" spans="10:10">
      <c r="J188" s="1"/>
    </row>
    <row r="189" spans="10:10">
      <c r="J189" s="1"/>
    </row>
    <row r="190" spans="10:10">
      <c r="J190" s="1"/>
    </row>
    <row r="191" spans="10:10">
      <c r="J191" s="1"/>
    </row>
    <row r="192" spans="10:10">
      <c r="J192" s="1"/>
    </row>
    <row r="193" spans="10:10">
      <c r="J193" s="1"/>
    </row>
    <row r="194" spans="10:10">
      <c r="J194" s="1"/>
    </row>
    <row r="195" spans="10:10">
      <c r="J195" s="1"/>
    </row>
    <row r="196" spans="10:10">
      <c r="J196" s="1"/>
    </row>
    <row r="197" spans="10:10">
      <c r="J197" s="1"/>
    </row>
  </sheetData>
  <phoneticPr fontId="0" type="noConversion"/>
  <hyperlinks>
    <hyperlink ref="A22" location="'eenmanszaak met BTW-aftrek'!P1" display="Investeringsaftrek" xr:uid="{00000000-0004-0000-0100-000000000000}"/>
  </hyperlinks>
  <pageMargins left="0.75" right="0.75" top="1" bottom="1" header="0.5" footer="0.5"/>
  <pageSetup paperSize="9" scale="82" fitToWidth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67"/>
  <sheetViews>
    <sheetView showGridLines="0" topLeftCell="A3" zoomScale="120" zoomScaleNormal="120" workbookViewId="0">
      <selection activeCell="D18" sqref="D18"/>
    </sheetView>
  </sheetViews>
  <sheetFormatPr defaultColWidth="9.77734375" defaultRowHeight="12.75"/>
  <cols>
    <col min="1" max="1" width="32.109375" style="5" customWidth="1"/>
    <col min="2" max="2" width="10.77734375" style="4" customWidth="1"/>
    <col min="3" max="3" width="4.77734375" style="5" customWidth="1"/>
    <col min="4" max="4" width="12.21875" style="5" customWidth="1"/>
    <col min="5" max="5" width="4.77734375" style="5" customWidth="1"/>
    <col min="6" max="6" width="15" style="4" customWidth="1"/>
    <col min="7" max="7" width="9.77734375" style="5"/>
    <col min="8" max="8" width="29.21875" style="5" bestFit="1" customWidth="1"/>
    <col min="9" max="9" width="9.77734375" style="5"/>
    <col min="10" max="10" width="8.5546875" style="5" customWidth="1"/>
    <col min="11" max="11" width="35.5546875" style="5" bestFit="1" customWidth="1"/>
    <col min="12" max="12" width="19.21875" style="5" bestFit="1" customWidth="1"/>
    <col min="13" max="16384" width="9.77734375" style="5"/>
  </cols>
  <sheetData>
    <row r="1" spans="1:12" ht="51.75" customHeight="1"/>
    <row r="2" spans="1:12" s="18" customFormat="1" ht="23.25">
      <c r="A2" s="16" t="s">
        <v>99</v>
      </c>
      <c r="B2" s="17"/>
      <c r="F2" s="62" t="s">
        <v>1</v>
      </c>
      <c r="H2" s="47" t="s">
        <v>3</v>
      </c>
      <c r="I2" s="48"/>
    </row>
    <row r="3" spans="1:12">
      <c r="A3" s="19"/>
      <c r="H3" s="51"/>
      <c r="I3" s="51"/>
    </row>
    <row r="4" spans="1:12">
      <c r="A4" s="19" t="s">
        <v>85</v>
      </c>
      <c r="H4" s="69" t="s">
        <v>100</v>
      </c>
      <c r="I4" s="51"/>
    </row>
    <row r="5" spans="1:12">
      <c r="A5" s="5" t="s">
        <v>4</v>
      </c>
      <c r="H5" s="55" t="s">
        <v>9</v>
      </c>
      <c r="I5" s="55" t="s">
        <v>10</v>
      </c>
      <c r="J5" s="21"/>
      <c r="K5" s="56" t="s">
        <v>11</v>
      </c>
      <c r="L5" s="51"/>
    </row>
    <row r="6" spans="1:12">
      <c r="A6" s="41" t="s">
        <v>13</v>
      </c>
      <c r="B6" s="14" t="s">
        <v>115</v>
      </c>
      <c r="C6" s="10"/>
      <c r="D6" s="41" t="s">
        <v>14</v>
      </c>
      <c r="E6" s="40"/>
      <c r="F6" s="42"/>
      <c r="H6" s="55" t="s">
        <v>12</v>
      </c>
      <c r="I6" s="55" t="s">
        <v>12</v>
      </c>
      <c r="J6" s="21"/>
      <c r="K6" s="56"/>
      <c r="L6" s="51"/>
    </row>
    <row r="7" spans="1:12" ht="45.75">
      <c r="A7" s="43" t="s">
        <v>15</v>
      </c>
      <c r="B7" s="9">
        <v>30000</v>
      </c>
      <c r="C7" s="64" t="s">
        <v>16</v>
      </c>
      <c r="D7" s="72" t="s">
        <v>101</v>
      </c>
      <c r="E7" s="40"/>
      <c r="F7" s="40"/>
      <c r="H7" s="57">
        <f>'DGA, geen BTW-aftrek in prive'!L6</f>
        <v>0</v>
      </c>
      <c r="I7" s="57">
        <v>2900</v>
      </c>
      <c r="J7" s="4"/>
      <c r="K7" s="58">
        <f>'DGA, geen BTW-aftrek in prive'!O6</f>
        <v>0</v>
      </c>
      <c r="L7" s="51"/>
    </row>
    <row r="8" spans="1:12">
      <c r="A8" s="40" t="s">
        <v>19</v>
      </c>
      <c r="B8" s="9">
        <v>39620</v>
      </c>
      <c r="C8" s="64" t="s">
        <v>16</v>
      </c>
      <c r="D8" s="44" t="s">
        <v>116</v>
      </c>
      <c r="E8" s="40"/>
      <c r="F8" s="40"/>
      <c r="H8" s="57">
        <v>2900</v>
      </c>
      <c r="I8" s="57">
        <v>70602</v>
      </c>
      <c r="J8" s="4"/>
      <c r="K8" s="58" t="str">
        <f>'DGA, geen BTW-aftrek in prive'!O7</f>
        <v>28% x investeringstotaal van dit jaar</v>
      </c>
      <c r="L8" s="51"/>
    </row>
    <row r="9" spans="1:12">
      <c r="A9" s="40" t="s">
        <v>20</v>
      </c>
      <c r="B9" s="9">
        <v>9620</v>
      </c>
      <c r="C9" s="64" t="s">
        <v>21</v>
      </c>
      <c r="D9" s="44" t="s">
        <v>22</v>
      </c>
      <c r="E9" s="40"/>
      <c r="F9" s="40"/>
      <c r="H9" s="57">
        <v>70602</v>
      </c>
      <c r="I9" s="57">
        <v>130744</v>
      </c>
      <c r="J9" s="4"/>
      <c r="K9" s="71">
        <v>19769</v>
      </c>
      <c r="L9" s="51"/>
    </row>
    <row r="10" spans="1:12">
      <c r="A10" s="40" t="s">
        <v>27</v>
      </c>
      <c r="B10" s="9">
        <v>12000</v>
      </c>
      <c r="C10" s="64" t="s">
        <v>21</v>
      </c>
      <c r="D10" s="44" t="s">
        <v>117</v>
      </c>
      <c r="E10" s="40"/>
      <c r="F10" s="40" t="s">
        <v>4</v>
      </c>
      <c r="H10" s="57">
        <v>130744</v>
      </c>
      <c r="I10" s="57">
        <v>392230</v>
      </c>
      <c r="J10" s="4"/>
      <c r="K10" s="58" t="s">
        <v>102</v>
      </c>
      <c r="L10" s="51" t="s">
        <v>103</v>
      </c>
    </row>
    <row r="11" spans="1:12">
      <c r="A11" s="40" t="s">
        <v>29</v>
      </c>
      <c r="B11" s="9">
        <v>48</v>
      </c>
      <c r="C11" s="64" t="s">
        <v>30</v>
      </c>
      <c r="D11" s="44"/>
      <c r="E11" s="40"/>
      <c r="F11" s="40"/>
      <c r="H11" s="57">
        <v>392230</v>
      </c>
      <c r="I11" s="57">
        <f>'DGA, geen BTW-aftrek in prive'!M10</f>
        <v>0</v>
      </c>
      <c r="J11" s="4"/>
      <c r="K11" s="58">
        <f>'DGA, geen BTW-aftrek in prive'!O10</f>
        <v>0</v>
      </c>
      <c r="L11" s="51"/>
    </row>
    <row r="12" spans="1:12">
      <c r="A12" s="40" t="s">
        <v>32</v>
      </c>
      <c r="B12" s="9">
        <v>1000</v>
      </c>
      <c r="C12" s="64" t="s">
        <v>16</v>
      </c>
      <c r="D12" s="44" t="s">
        <v>33</v>
      </c>
      <c r="E12" s="40"/>
      <c r="F12" s="40"/>
      <c r="H12" s="51"/>
      <c r="I12" s="51"/>
      <c r="K12" s="51"/>
      <c r="L12" s="51"/>
    </row>
    <row r="13" spans="1:12">
      <c r="A13" s="40" t="s">
        <v>34</v>
      </c>
      <c r="B13" s="9">
        <v>360</v>
      </c>
      <c r="C13" s="64" t="s">
        <v>16</v>
      </c>
      <c r="D13" s="44" t="s">
        <v>35</v>
      </c>
      <c r="E13" s="40"/>
      <c r="F13" s="40"/>
      <c r="H13" s="69" t="str">
        <f>'DGA, geen BTW-aftrek in prive'!L12</f>
        <v>Milieu-investeringsaftrek, voorbeelden:</v>
      </c>
      <c r="I13" s="51"/>
      <c r="K13" s="51"/>
      <c r="L13" s="51"/>
    </row>
    <row r="14" spans="1:12" ht="25.5">
      <c r="A14" s="40" t="s">
        <v>36</v>
      </c>
      <c r="B14" s="9">
        <v>1200</v>
      </c>
      <c r="C14" s="64" t="s">
        <v>16</v>
      </c>
      <c r="D14" s="44"/>
      <c r="E14" s="40"/>
      <c r="F14" s="40"/>
      <c r="H14" s="70" t="s">
        <v>104</v>
      </c>
      <c r="I14" s="51"/>
      <c r="K14" s="66" t="s">
        <v>105</v>
      </c>
      <c r="L14" s="51"/>
    </row>
    <row r="15" spans="1:12" ht="25.5">
      <c r="A15" s="40" t="s">
        <v>88</v>
      </c>
      <c r="B15" s="9">
        <v>4</v>
      </c>
      <c r="C15" s="64" t="s">
        <v>25</v>
      </c>
      <c r="D15" s="44"/>
      <c r="E15" s="40"/>
      <c r="F15" s="40"/>
      <c r="H15" s="70" t="s">
        <v>106</v>
      </c>
      <c r="I15" s="51"/>
      <c r="K15" s="66" t="s">
        <v>107</v>
      </c>
      <c r="L15" s="51"/>
    </row>
    <row r="16" spans="1:12">
      <c r="A16" s="40" t="s">
        <v>38</v>
      </c>
      <c r="B16" s="9">
        <v>7</v>
      </c>
      <c r="C16" s="64" t="s">
        <v>39</v>
      </c>
      <c r="D16" s="44"/>
      <c r="E16" s="40"/>
      <c r="F16" s="40"/>
      <c r="H16" s="70" t="s">
        <v>108</v>
      </c>
      <c r="I16" s="51"/>
      <c r="K16" s="51" t="s">
        <v>109</v>
      </c>
      <c r="L16" s="51"/>
    </row>
    <row r="17" spans="1:11">
      <c r="A17" s="40" t="s">
        <v>40</v>
      </c>
      <c r="B17" s="12">
        <v>1.92</v>
      </c>
      <c r="C17" s="64" t="s">
        <v>21</v>
      </c>
      <c r="D17" s="44" t="s">
        <v>41</v>
      </c>
      <c r="E17" s="40"/>
      <c r="F17" s="40"/>
      <c r="H17" s="70">
        <f>'DGA, geen BTW-aftrek in prive'!L16</f>
        <v>0</v>
      </c>
      <c r="I17" s="51"/>
    </row>
    <row r="18" spans="1:11">
      <c r="A18" s="40" t="s">
        <v>42</v>
      </c>
      <c r="B18" s="9">
        <v>8000</v>
      </c>
      <c r="C18" s="64" t="s">
        <v>43</v>
      </c>
      <c r="D18" s="44"/>
      <c r="E18" s="40"/>
      <c r="F18" s="40"/>
      <c r="H18" s="46" t="s">
        <v>110</v>
      </c>
      <c r="I18" s="5" t="s">
        <v>4</v>
      </c>
      <c r="K18" s="5" t="s">
        <v>4</v>
      </c>
    </row>
    <row r="19" spans="1:11">
      <c r="A19" s="40" t="s">
        <v>44</v>
      </c>
      <c r="B19" s="9">
        <v>22000</v>
      </c>
      <c r="C19" s="64" t="s">
        <v>43</v>
      </c>
      <c r="D19" s="44" t="s">
        <v>45</v>
      </c>
      <c r="E19" s="40"/>
      <c r="F19" s="40"/>
      <c r="H19" s="5" t="s">
        <v>4</v>
      </c>
      <c r="K19" s="5" t="s">
        <v>4</v>
      </c>
    </row>
    <row r="20" spans="1:11">
      <c r="A20" s="40" t="s">
        <v>48</v>
      </c>
      <c r="B20" s="9">
        <v>22</v>
      </c>
      <c r="C20" s="64" t="s">
        <v>25</v>
      </c>
      <c r="D20" s="44"/>
      <c r="E20" s="40"/>
      <c r="F20" s="40"/>
      <c r="H20" s="5" t="s">
        <v>4</v>
      </c>
    </row>
    <row r="21" spans="1:11">
      <c r="A21" s="45" t="s">
        <v>89</v>
      </c>
      <c r="B21" s="9">
        <v>0</v>
      </c>
      <c r="C21" s="64" t="s">
        <v>16</v>
      </c>
      <c r="D21" s="44" t="s">
        <v>111</v>
      </c>
      <c r="E21" s="40"/>
      <c r="F21" s="40"/>
    </row>
    <row r="22" spans="1:11">
      <c r="A22" s="40" t="s">
        <v>46</v>
      </c>
      <c r="B22" s="9">
        <v>23</v>
      </c>
      <c r="C22" s="64" t="s">
        <v>47</v>
      </c>
      <c r="D22" s="44"/>
      <c r="E22" s="40"/>
      <c r="F22" s="42"/>
    </row>
    <row r="23" spans="1:11">
      <c r="A23" s="40" t="s">
        <v>91</v>
      </c>
      <c r="B23" s="11">
        <v>49.5</v>
      </c>
      <c r="C23" s="64" t="s">
        <v>25</v>
      </c>
      <c r="D23" s="44"/>
      <c r="E23" s="40"/>
      <c r="F23" s="42"/>
    </row>
    <row r="24" spans="1:11">
      <c r="A24" s="5" t="s">
        <v>4</v>
      </c>
      <c r="B24" s="6" t="s">
        <v>4</v>
      </c>
      <c r="C24" s="5" t="s">
        <v>4</v>
      </c>
      <c r="H24" s="4" t="s">
        <v>4</v>
      </c>
    </row>
    <row r="25" spans="1:11">
      <c r="H25" s="5" t="s">
        <v>4</v>
      </c>
    </row>
    <row r="26" spans="1:11">
      <c r="A26" s="26" t="s">
        <v>93</v>
      </c>
      <c r="B26" s="27"/>
      <c r="C26" s="28"/>
      <c r="D26" s="28"/>
      <c r="E26" s="28"/>
      <c r="F26" s="27"/>
      <c r="H26" s="5" t="s">
        <v>4</v>
      </c>
    </row>
    <row r="27" spans="1:11">
      <c r="A27" s="29"/>
      <c r="B27" s="30" t="s">
        <v>53</v>
      </c>
      <c r="C27" s="31"/>
      <c r="D27" s="32" t="s">
        <v>94</v>
      </c>
      <c r="E27" s="31"/>
      <c r="F27" s="30" t="s">
        <v>55</v>
      </c>
    </row>
    <row r="28" spans="1:11">
      <c r="A28" s="33" t="s">
        <v>56</v>
      </c>
      <c r="B28" s="34">
        <f>(($B$7*100/121)-$B$10)/($B$11/12)</f>
        <v>3198.3471074380168</v>
      </c>
      <c r="C28" s="34"/>
      <c r="D28" s="34"/>
      <c r="E28" s="34"/>
      <c r="F28" s="34"/>
      <c r="G28" s="5" t="s">
        <v>4</v>
      </c>
    </row>
    <row r="29" spans="1:11">
      <c r="A29" s="33" t="s">
        <v>57</v>
      </c>
      <c r="B29" s="34">
        <f>((($B$7*100/121)+B10)/2*B15/100)</f>
        <v>735.86776859504141</v>
      </c>
      <c r="C29" s="34"/>
      <c r="D29" s="34" t="s">
        <v>4</v>
      </c>
      <c r="E29" s="34" t="s">
        <v>4</v>
      </c>
      <c r="F29" s="34" t="s">
        <v>4</v>
      </c>
      <c r="G29" s="5" t="s">
        <v>4</v>
      </c>
    </row>
    <row r="30" spans="1:11">
      <c r="A30" s="33" t="s">
        <v>58</v>
      </c>
      <c r="B30" s="34">
        <f>D45</f>
        <v>2386.4462809917354</v>
      </c>
      <c r="C30" s="34"/>
      <c r="D30" s="34"/>
      <c r="E30" s="34"/>
      <c r="F30" s="34"/>
      <c r="G30" s="5" t="s">
        <v>4</v>
      </c>
    </row>
    <row r="31" spans="1:11">
      <c r="A31" s="33" t="s">
        <v>59</v>
      </c>
      <c r="B31" s="34">
        <f>(B18+B19)/100*B16*B17*100/121</f>
        <v>3332.2314049586776</v>
      </c>
      <c r="C31" s="34"/>
      <c r="D31" s="34" t="s">
        <v>4</v>
      </c>
      <c r="E31" s="34"/>
      <c r="F31" s="34"/>
    </row>
    <row r="32" spans="1:11">
      <c r="A32" s="29" t="str">
        <f>A47</f>
        <v>BTW over privégebruik</v>
      </c>
      <c r="B32" s="35">
        <f>D47</f>
        <v>1069.74</v>
      </c>
      <c r="C32" s="29"/>
      <c r="D32" s="29"/>
      <c r="E32" s="34"/>
      <c r="F32" s="34"/>
    </row>
    <row r="33" spans="1:6">
      <c r="A33" s="33" t="s">
        <v>60</v>
      </c>
      <c r="B33" s="34">
        <f>SUM(B28:B32)</f>
        <v>10722.63256198347</v>
      </c>
      <c r="C33" s="34"/>
      <c r="D33" s="34"/>
      <c r="E33" s="34"/>
      <c r="F33" s="34" t="s">
        <v>4</v>
      </c>
    </row>
    <row r="34" spans="1:6">
      <c r="A34" s="33" t="s">
        <v>61</v>
      </c>
      <c r="B34" s="34">
        <f>B19*-B22/100</f>
        <v>-5060</v>
      </c>
      <c r="C34" s="34"/>
      <c r="D34" s="34">
        <f>-B34</f>
        <v>5060</v>
      </c>
      <c r="E34" s="34"/>
      <c r="F34" s="34"/>
    </row>
    <row r="35" spans="1:6">
      <c r="A35" s="33" t="s">
        <v>95</v>
      </c>
      <c r="B35" s="34">
        <f>B19*(B22-19)/100*B23/100</f>
        <v>435.6</v>
      </c>
      <c r="C35" s="34"/>
      <c r="D35" s="65">
        <f>D34*-B23/100*0.86</f>
        <v>-2154.0419999999999</v>
      </c>
      <c r="E35" s="34"/>
      <c r="F35" s="34"/>
    </row>
    <row r="36" spans="1:6">
      <c r="A36" s="33" t="s">
        <v>4</v>
      </c>
      <c r="B36" s="34"/>
      <c r="C36" s="34"/>
      <c r="D36" s="34" t="s">
        <v>4</v>
      </c>
      <c r="E36" s="34"/>
      <c r="F36" s="34"/>
    </row>
    <row r="37" spans="1:6" ht="13.5" thickBot="1">
      <c r="A37" s="33" t="s">
        <v>64</v>
      </c>
      <c r="B37" s="37">
        <f>SUM(B33:B36)</f>
        <v>6098.2325619834701</v>
      </c>
      <c r="C37" s="34"/>
      <c r="D37" s="37">
        <f>SUM(D33:D36)</f>
        <v>2905.9580000000001</v>
      </c>
      <c r="E37" s="34"/>
      <c r="F37" s="37">
        <f>SUM(B37+D37)</f>
        <v>9004.1905619834706</v>
      </c>
    </row>
    <row r="38" spans="1:6" ht="13.5" thickTop="1">
      <c r="A38" s="29"/>
      <c r="B38" s="34"/>
      <c r="C38" s="34"/>
      <c r="D38" s="34"/>
      <c r="E38" s="34"/>
      <c r="F38" s="34"/>
    </row>
    <row r="39" spans="1:6" ht="13.5" thickBot="1">
      <c r="A39" s="29" t="s">
        <v>65</v>
      </c>
      <c r="B39" s="34"/>
      <c r="C39" s="34"/>
      <c r="D39" s="34"/>
      <c r="E39" s="34"/>
      <c r="F39" s="38">
        <f>F37*(B11/12)</f>
        <v>36016.762247933882</v>
      </c>
    </row>
    <row r="40" spans="1:6" ht="13.5" thickTop="1">
      <c r="A40" s="29"/>
      <c r="B40" s="34"/>
      <c r="C40" s="34"/>
      <c r="D40" s="34"/>
      <c r="E40" s="34"/>
      <c r="F40" s="34"/>
    </row>
    <row r="41" spans="1:6">
      <c r="A41" s="26" t="s">
        <v>96</v>
      </c>
      <c r="B41" s="27"/>
      <c r="C41" s="28"/>
      <c r="D41" s="28"/>
      <c r="E41" s="28"/>
      <c r="F41" s="27"/>
    </row>
    <row r="42" spans="1:6">
      <c r="A42" s="29"/>
      <c r="B42" s="30" t="s">
        <v>67</v>
      </c>
      <c r="C42" s="29"/>
      <c r="D42" s="32" t="s">
        <v>94</v>
      </c>
      <c r="E42" s="29"/>
      <c r="F42" s="30" t="s">
        <v>55</v>
      </c>
    </row>
    <row r="43" spans="1:6">
      <c r="A43" s="33" t="s">
        <v>56</v>
      </c>
      <c r="B43" s="34"/>
      <c r="C43" s="34"/>
      <c r="D43" s="34">
        <f>(($B$7*100/121)-$B$10)/($B$11/12)</f>
        <v>3198.3471074380168</v>
      </c>
      <c r="E43" s="34"/>
      <c r="F43" s="34"/>
    </row>
    <row r="44" spans="1:6">
      <c r="A44" s="33" t="s">
        <v>57</v>
      </c>
      <c r="B44" s="34"/>
      <c r="C44" s="34"/>
      <c r="D44" s="34">
        <f>B29</f>
        <v>735.86776859504141</v>
      </c>
      <c r="E44" s="34"/>
      <c r="F44" s="34"/>
    </row>
    <row r="45" spans="1:6">
      <c r="A45" s="33" t="str">
        <f>A30</f>
        <v>Verzekering/MRB/onderhoud</v>
      </c>
      <c r="B45" s="34"/>
      <c r="C45" s="34"/>
      <c r="D45" s="34">
        <f>B12*100/121+B13+B14</f>
        <v>2386.4462809917354</v>
      </c>
      <c r="E45" s="34"/>
      <c r="F45" s="34" t="s">
        <v>4</v>
      </c>
    </row>
    <row r="46" spans="1:6">
      <c r="A46" s="33" t="str">
        <f>A31</f>
        <v>Brandstof</v>
      </c>
      <c r="B46" s="34"/>
      <c r="C46" s="34"/>
      <c r="D46" s="34">
        <f>B31</f>
        <v>3332.2314049586776</v>
      </c>
      <c r="E46" s="34"/>
      <c r="F46" s="34"/>
    </row>
    <row r="47" spans="1:6">
      <c r="A47" s="33" t="s">
        <v>68</v>
      </c>
      <c r="B47" s="34"/>
      <c r="C47" s="34"/>
      <c r="D47" s="34">
        <f>0.027*B8</f>
        <v>1069.74</v>
      </c>
      <c r="E47" s="34"/>
      <c r="F47" s="34"/>
    </row>
    <row r="48" spans="1:6">
      <c r="A48" s="29" t="str">
        <f>A35</f>
        <v>Inkomstenbelasting</v>
      </c>
      <c r="B48" s="34"/>
      <c r="C48" s="34"/>
      <c r="D48" s="34">
        <f>(SUM(D43:D47)+B21)*-B23/100*0.873</f>
        <v>-4633.6248221727265</v>
      </c>
      <c r="E48" s="34" t="s">
        <v>4</v>
      </c>
      <c r="F48" s="34" t="s">
        <v>4</v>
      </c>
    </row>
    <row r="49" spans="1:8">
      <c r="A49" s="33" t="s">
        <v>69</v>
      </c>
      <c r="B49" s="34">
        <f>IF(B18&lt;500,0,IF(AND(B18&gt;500,SUM(D43:D47)&lt;(B8*(B20/100))),B23/100*0.86*SUM(D43:D47),((B23/100)*0.86*(B20*B8))/100))</f>
        <v>3710.5714800000001</v>
      </c>
      <c r="C49" s="29"/>
      <c r="D49" s="34" t="s">
        <v>4</v>
      </c>
      <c r="E49" s="29"/>
      <c r="F49" s="34" t="s">
        <v>4</v>
      </c>
    </row>
    <row r="50" spans="1:8">
      <c r="A50" s="29"/>
      <c r="B50" s="34"/>
      <c r="C50" s="34"/>
      <c r="D50" s="34"/>
      <c r="E50" s="34"/>
      <c r="F50" s="34" t="s">
        <v>4</v>
      </c>
    </row>
    <row r="51" spans="1:8" ht="13.5" thickBot="1">
      <c r="A51" s="33" t="s">
        <v>112</v>
      </c>
      <c r="B51" s="37">
        <f>SUM(B43:B49)</f>
        <v>3710.5714800000001</v>
      </c>
      <c r="C51" s="34"/>
      <c r="D51" s="37">
        <f>SUM(D43:D50)</f>
        <v>6089.0077398107433</v>
      </c>
      <c r="E51" s="34"/>
      <c r="F51" s="37">
        <f>SUM(B51+D51)</f>
        <v>9799.5792198107429</v>
      </c>
      <c r="G51" s="5" t="s">
        <v>4</v>
      </c>
      <c r="H51" s="5" t="s">
        <v>4</v>
      </c>
    </row>
    <row r="52" spans="1:8" ht="13.5" thickTop="1">
      <c r="A52" s="29"/>
      <c r="B52" s="34"/>
      <c r="C52" s="34"/>
      <c r="D52" s="34"/>
      <c r="E52" s="34"/>
      <c r="F52" s="34"/>
    </row>
    <row r="53" spans="1:8" ht="13.5" thickBot="1">
      <c r="A53" s="29" t="s">
        <v>72</v>
      </c>
      <c r="B53" s="34" t="s">
        <v>4</v>
      </c>
      <c r="C53" s="29"/>
      <c r="D53" s="29"/>
      <c r="E53" s="29"/>
      <c r="F53" s="38">
        <f>F51+(F51+B21*B23/100*0.86)*((B11/12)-1)</f>
        <v>39198.316879242971</v>
      </c>
    </row>
    <row r="54" spans="1:8" ht="13.5" thickTop="1">
      <c r="B54" s="4" t="s">
        <v>4</v>
      </c>
      <c r="D54" s="4" t="s">
        <v>4</v>
      </c>
      <c r="F54" s="4" t="s">
        <v>4</v>
      </c>
    </row>
    <row r="55" spans="1:8">
      <c r="F55" s="5" t="s">
        <v>4</v>
      </c>
    </row>
    <row r="56" spans="1:8">
      <c r="A56" s="23" t="s">
        <v>73</v>
      </c>
      <c r="B56" s="24"/>
      <c r="C56" s="25"/>
      <c r="D56" s="8" t="str">
        <f>IF((F53-F39)&gt;0,"in privé","in de onderneming")</f>
        <v>in privé</v>
      </c>
      <c r="F56" s="5"/>
    </row>
    <row r="57" spans="1:8">
      <c r="F57" s="5"/>
    </row>
    <row r="58" spans="1:8">
      <c r="F58" s="5"/>
    </row>
    <row r="59" spans="1:8">
      <c r="A59" s="5" t="s">
        <v>113</v>
      </c>
      <c r="F59" s="5"/>
    </row>
    <row r="60" spans="1:8">
      <c r="A60" s="5" t="s">
        <v>114</v>
      </c>
      <c r="F60" s="5"/>
    </row>
    <row r="61" spans="1:8">
      <c r="A61" s="22" t="s">
        <v>4</v>
      </c>
      <c r="F61" s="5"/>
    </row>
    <row r="62" spans="1:8">
      <c r="A62" s="22" t="s">
        <v>77</v>
      </c>
      <c r="F62" s="5"/>
    </row>
    <row r="63" spans="1:8">
      <c r="A63" s="22" t="s">
        <v>78</v>
      </c>
      <c r="F63" s="5"/>
    </row>
    <row r="64" spans="1:8">
      <c r="F64" s="5"/>
    </row>
    <row r="65" spans="1:6">
      <c r="A65" s="22" t="str">
        <f>'DGA, geen BTW-aftrek in prive'!A67</f>
        <v>(c) 2025 mr. H.A. Elbert - Elbert Fiscaal -</v>
      </c>
      <c r="F65" s="5"/>
    </row>
    <row r="66" spans="1:6">
      <c r="A66" s="22" t="str">
        <f>'DGA, geen BTW-aftrek in prive'!A68</f>
        <v>Hoewel aan de samenstelling de uiterste zorg is besteed, aanvaardt mr. H.A. Elbert - Elbert Fiscaal - geen enkele</v>
      </c>
      <c r="F66" s="5"/>
    </row>
    <row r="67" spans="1:6">
      <c r="A67" s="22" t="s">
        <v>97</v>
      </c>
      <c r="F67" s="5"/>
    </row>
    <row r="68" spans="1:6">
      <c r="F68" s="5"/>
    </row>
    <row r="69" spans="1:6">
      <c r="F69" s="5"/>
    </row>
    <row r="70" spans="1:6">
      <c r="F70" s="5"/>
    </row>
    <row r="71" spans="1:6">
      <c r="F71" s="5"/>
    </row>
    <row r="72" spans="1:6">
      <c r="F72" s="5"/>
    </row>
    <row r="73" spans="1:6">
      <c r="F73" s="5"/>
    </row>
    <row r="74" spans="1:6">
      <c r="F74" s="5"/>
    </row>
    <row r="75" spans="1:6">
      <c r="F75" s="5"/>
    </row>
    <row r="76" spans="1:6">
      <c r="F76" s="5"/>
    </row>
    <row r="77" spans="1:6">
      <c r="F77" s="5"/>
    </row>
    <row r="78" spans="1:6">
      <c r="F78" s="5"/>
    </row>
    <row r="79" spans="1:6">
      <c r="F79" s="5"/>
    </row>
    <row r="80" spans="1:6">
      <c r="F80" s="5"/>
    </row>
    <row r="81" spans="6:6">
      <c r="F81" s="5"/>
    </row>
    <row r="82" spans="6:6">
      <c r="F82" s="5"/>
    </row>
    <row r="83" spans="6:6">
      <c r="F83" s="5"/>
    </row>
    <row r="84" spans="6:6">
      <c r="F84" s="5"/>
    </row>
    <row r="85" spans="6:6">
      <c r="F85" s="5"/>
    </row>
    <row r="86" spans="6:6">
      <c r="F86" s="5"/>
    </row>
    <row r="87" spans="6:6">
      <c r="F87" s="5"/>
    </row>
    <row r="88" spans="6:6">
      <c r="F88" s="5"/>
    </row>
    <row r="89" spans="6:6">
      <c r="F89" s="5"/>
    </row>
    <row r="90" spans="6:6">
      <c r="F90" s="5"/>
    </row>
    <row r="91" spans="6:6">
      <c r="F91" s="5"/>
    </row>
    <row r="92" spans="6:6">
      <c r="F92" s="5"/>
    </row>
    <row r="93" spans="6:6">
      <c r="F93" s="5"/>
    </row>
    <row r="94" spans="6:6">
      <c r="F94" s="5"/>
    </row>
    <row r="95" spans="6:6">
      <c r="F95" s="5"/>
    </row>
    <row r="96" spans="6:6">
      <c r="F96" s="5"/>
    </row>
    <row r="97" spans="6:6">
      <c r="F97" s="5"/>
    </row>
    <row r="98" spans="6:6">
      <c r="F98" s="5"/>
    </row>
    <row r="99" spans="6:6">
      <c r="F99" s="5"/>
    </row>
    <row r="100" spans="6:6">
      <c r="F100" s="5"/>
    </row>
    <row r="101" spans="6:6">
      <c r="F101" s="5"/>
    </row>
    <row r="102" spans="6:6">
      <c r="F102" s="5"/>
    </row>
    <row r="103" spans="6:6">
      <c r="F103" s="5"/>
    </row>
    <row r="104" spans="6:6">
      <c r="F104" s="5"/>
    </row>
    <row r="105" spans="6:6">
      <c r="F105" s="5"/>
    </row>
    <row r="106" spans="6:6">
      <c r="F106" s="5"/>
    </row>
    <row r="107" spans="6:6">
      <c r="F107" s="5"/>
    </row>
    <row r="108" spans="6:6">
      <c r="F108" s="5"/>
    </row>
    <row r="109" spans="6:6">
      <c r="F109" s="5"/>
    </row>
    <row r="110" spans="6:6">
      <c r="F110" s="5"/>
    </row>
    <row r="111" spans="6:6">
      <c r="F111" s="5"/>
    </row>
    <row r="112" spans="6:6">
      <c r="F112" s="5"/>
    </row>
    <row r="113" spans="6:6">
      <c r="F113" s="5"/>
    </row>
    <row r="114" spans="6:6">
      <c r="F114" s="5"/>
    </row>
    <row r="115" spans="6:6">
      <c r="F115" s="5"/>
    </row>
    <row r="116" spans="6:6">
      <c r="F116" s="5"/>
    </row>
    <row r="117" spans="6:6">
      <c r="F117" s="5"/>
    </row>
    <row r="118" spans="6:6">
      <c r="F118" s="5"/>
    </row>
    <row r="119" spans="6:6">
      <c r="F119" s="5"/>
    </row>
    <row r="120" spans="6:6">
      <c r="F120" s="5"/>
    </row>
    <row r="121" spans="6:6">
      <c r="F121" s="5"/>
    </row>
    <row r="122" spans="6:6">
      <c r="F122" s="5"/>
    </row>
    <row r="123" spans="6:6">
      <c r="F123" s="5"/>
    </row>
    <row r="124" spans="6:6">
      <c r="F124" s="5"/>
    </row>
    <row r="125" spans="6:6">
      <c r="F125" s="5"/>
    </row>
    <row r="126" spans="6:6">
      <c r="F126" s="5"/>
    </row>
    <row r="127" spans="6:6">
      <c r="F127" s="5"/>
    </row>
    <row r="128" spans="6:6">
      <c r="F128" s="5"/>
    </row>
    <row r="129" spans="6:6">
      <c r="F129" s="5"/>
    </row>
    <row r="130" spans="6:6">
      <c r="F130" s="5"/>
    </row>
    <row r="131" spans="6:6">
      <c r="F131" s="5"/>
    </row>
    <row r="132" spans="6:6">
      <c r="F132" s="5"/>
    </row>
    <row r="133" spans="6:6">
      <c r="F133" s="5"/>
    </row>
    <row r="134" spans="6:6">
      <c r="F134" s="5"/>
    </row>
    <row r="135" spans="6:6">
      <c r="F135" s="5"/>
    </row>
    <row r="136" spans="6:6">
      <c r="F136" s="5"/>
    </row>
    <row r="137" spans="6:6">
      <c r="F137" s="5"/>
    </row>
    <row r="138" spans="6:6">
      <c r="F138" s="5"/>
    </row>
    <row r="139" spans="6:6">
      <c r="F139" s="5"/>
    </row>
    <row r="140" spans="6:6">
      <c r="F140" s="5"/>
    </row>
    <row r="141" spans="6:6">
      <c r="F141" s="5"/>
    </row>
    <row r="142" spans="6:6">
      <c r="F142" s="5"/>
    </row>
    <row r="143" spans="6:6">
      <c r="F143" s="5"/>
    </row>
    <row r="144" spans="6:6">
      <c r="F144" s="5"/>
    </row>
    <row r="145" spans="6:6">
      <c r="F145" s="5"/>
    </row>
    <row r="146" spans="6:6">
      <c r="F146" s="5"/>
    </row>
    <row r="147" spans="6:6">
      <c r="F147" s="5"/>
    </row>
    <row r="148" spans="6:6">
      <c r="F148" s="5"/>
    </row>
    <row r="149" spans="6:6">
      <c r="F149" s="5"/>
    </row>
    <row r="150" spans="6:6">
      <c r="F150" s="5"/>
    </row>
    <row r="151" spans="6:6">
      <c r="F151" s="5"/>
    </row>
    <row r="152" spans="6:6">
      <c r="F152" s="5"/>
    </row>
    <row r="153" spans="6:6">
      <c r="F153" s="5"/>
    </row>
    <row r="154" spans="6:6">
      <c r="F154" s="5"/>
    </row>
    <row r="155" spans="6:6">
      <c r="F155" s="5"/>
    </row>
    <row r="156" spans="6:6">
      <c r="F156" s="5"/>
    </row>
    <row r="157" spans="6:6">
      <c r="F157" s="5"/>
    </row>
    <row r="158" spans="6:6">
      <c r="F158" s="5"/>
    </row>
    <row r="159" spans="6:6">
      <c r="F159" s="5"/>
    </row>
    <row r="160" spans="6:6">
      <c r="F160" s="5"/>
    </row>
    <row r="161" spans="6:6">
      <c r="F161" s="5"/>
    </row>
    <row r="162" spans="6:6">
      <c r="F162" s="5"/>
    </row>
    <row r="163" spans="6:6">
      <c r="F163" s="5"/>
    </row>
    <row r="164" spans="6:6">
      <c r="F164" s="5"/>
    </row>
    <row r="165" spans="6:6">
      <c r="F165" s="5"/>
    </row>
    <row r="166" spans="6:6">
      <c r="F166" s="5"/>
    </row>
    <row r="167" spans="6:6">
      <c r="F167" s="5"/>
    </row>
  </sheetData>
  <hyperlinks>
    <hyperlink ref="A21" location="'eenmanszaak met BTW-aftrek'!P1" display="Investeringsaftrek" xr:uid="{00000000-0004-0000-0200-000000000000}"/>
  </hyperlinks>
  <pageMargins left="0.7" right="0.7" top="0.75" bottom="0.75" header="0.3" footer="0.3"/>
  <pageSetup paperSize="9" scale="87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e01906-4133-4c3d-8b16-e77e7afc41dd">
      <Terms xmlns="http://schemas.microsoft.com/office/infopath/2007/PartnerControls"/>
    </lcf76f155ced4ddcb4097134ff3c332f>
    <TaxCatchAll xmlns="fcbe2dca-696c-4c82-b0ad-c5f0e6700e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93B71702EB428A97E8F37713D847" ma:contentTypeVersion="16" ma:contentTypeDescription="Een nieuw document maken." ma:contentTypeScope="" ma:versionID="a491c17e9d4ffba98877bcd81f8f18a3">
  <xsd:schema xmlns:xsd="http://www.w3.org/2001/XMLSchema" xmlns:xs="http://www.w3.org/2001/XMLSchema" xmlns:p="http://schemas.microsoft.com/office/2006/metadata/properties" xmlns:ns2="9de01906-4133-4c3d-8b16-e77e7afc41dd" xmlns:ns3="fcbe2dca-696c-4c82-b0ad-c5f0e6700e87" targetNamespace="http://schemas.microsoft.com/office/2006/metadata/properties" ma:root="true" ma:fieldsID="3c6bbc408ceb2294aba2b5f75400a7b8" ns2:_="" ns3:_="">
    <xsd:import namespace="9de01906-4133-4c3d-8b16-e77e7afc41dd"/>
    <xsd:import namespace="fcbe2dca-696c-4c82-b0ad-c5f0e6700e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01906-4133-4c3d-8b16-e77e7afc41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a94b71a0-ef2a-4fe4-ac02-42fa34d48e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e2dca-696c-4c82-b0ad-c5f0e6700e8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2c387bb-1520-42d0-8ece-2f93b92ec234}" ma:internalName="TaxCatchAll" ma:showField="CatchAllData" ma:web="fcbe2dca-696c-4c82-b0ad-c5f0e6700e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533B12-8677-4A4C-95B2-2A27B8987F43}">
  <ds:schemaRefs>
    <ds:schemaRef ds:uri="http://schemas.microsoft.com/office/2006/metadata/properties"/>
    <ds:schemaRef ds:uri="http://schemas.microsoft.com/office/infopath/2007/PartnerControls"/>
    <ds:schemaRef ds:uri="9de01906-4133-4c3d-8b16-e77e7afc41dd"/>
    <ds:schemaRef ds:uri="fcbe2dca-696c-4c82-b0ad-c5f0e6700e87"/>
  </ds:schemaRefs>
</ds:datastoreItem>
</file>

<file path=customXml/itemProps2.xml><?xml version="1.0" encoding="utf-8"?>
<ds:datastoreItem xmlns:ds="http://schemas.openxmlformats.org/officeDocument/2006/customXml" ds:itemID="{B73C7562-74BA-471E-9047-A03EFD5D1A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02796E-57E9-4249-9C87-950E81052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01906-4133-4c3d-8b16-e77e7afc41dd"/>
    <ds:schemaRef ds:uri="fcbe2dca-696c-4c82-b0ad-c5f0e6700e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DGA, geen BTW-aftrek in prive</vt:lpstr>
      <vt:lpstr>eenmanszaak met BTW-aftrek</vt:lpstr>
      <vt:lpstr>bestelauto eenmanszaak</vt:lpstr>
      <vt:lpstr>'bestelauto eenmanszaak'!Afdrukbereik</vt:lpstr>
      <vt:lpstr>'DGA, geen BTW-aftrek in prive'!Afdrukbereik</vt:lpstr>
      <vt:lpstr>'eenmanszaak met BTW-aftrek'!Afdrukbereik</vt:lpstr>
    </vt:vector>
  </TitlesOfParts>
  <Manager/>
  <Company>AMD automotive fiscalisten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Rekenmodel auto prive of zakelijk</dc:title>
  <dc:subject/>
  <dc:creator>AMD automotive fiscalisten</dc:creator>
  <cp:keywords/>
  <dc:description/>
  <cp:lastModifiedBy>Shanna Dien | WingWays</cp:lastModifiedBy>
  <cp:revision/>
  <dcterms:created xsi:type="dcterms:W3CDTF">2000-01-26T12:59:49Z</dcterms:created>
  <dcterms:modified xsi:type="dcterms:W3CDTF">2026-02-20T13:16:51Z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0x010100BE6093B71702EB428A97E8F37713D847</vt:lpwstr>
  </property>
  <property fmtid="{D5CDD505-2E9C-101B-9397-08002B2CF9AE}" pid="3" name="MediaServiceImageTags">
    <vt:lpwstr/>
  </property>
</Properties>
</file>